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MINI~1\AppData\Local\Temp\Rar$DIa5404.47672\"/>
    </mc:Choice>
  </mc:AlternateContent>
  <xr:revisionPtr revIDLastSave="0" documentId="13_ncr:1_{2FA1DF88-DF70-40BC-ADF3-E6CD067C8B45}" xr6:coauthVersionLast="47" xr6:coauthVersionMax="47" xr10:uidLastSave="{00000000-0000-0000-0000-000000000000}"/>
  <workbookProtection workbookAlgorithmName="SHA-512" workbookHashValue="HcAr2wRqY4SjzhC6U6UnO95xwty+5/EdZv0YWLuc3htjMwGyh/+gs2zarFuTOxBwg9pu3bLQkXt+RlASWsCyaQ==" workbookSaltValue="Am1b58RLzfAJTgItAYLB/g==" workbookSpinCount="100000" lockStructure="1"/>
  <bookViews>
    <workbookView xWindow="-120" yWindow="-120" windowWidth="20730" windowHeight="11160" xr2:uid="{00000000-000D-0000-FFFF-FFFF00000000}"/>
  </bookViews>
  <sheets>
    <sheet name="TABLA" sheetId="51" r:id="rId1"/>
    <sheet name="Presupuesto" sheetId="17" state="hidden" r:id="rId2"/>
    <sheet name="MAT" sheetId="5" state="hidden" r:id="rId3"/>
    <sheet name="TRANS" sheetId="7" state="hidden" r:id="rId4"/>
    <sheet name="1.5" sheetId="18" state="hidden" r:id="rId5"/>
    <sheet name="1.7" sheetId="26" state="hidden" r:id="rId6"/>
    <sheet name="2.1" sheetId="4" state="hidden" r:id="rId7"/>
    <sheet name="2.2" sheetId="19" state="hidden" r:id="rId8"/>
    <sheet name="2.3" sheetId="20" state="hidden" r:id="rId9"/>
    <sheet name="2.4" sheetId="23" state="hidden" r:id="rId10"/>
    <sheet name="2.5" sheetId="22" state="hidden" r:id="rId11"/>
    <sheet name="2.6" sheetId="21" state="hidden" r:id="rId12"/>
    <sheet name="2.7" sheetId="25" state="hidden" r:id="rId13"/>
    <sheet name="2.8" sheetId="27" state="hidden" r:id="rId14"/>
    <sheet name="2.9" sheetId="28" state="hidden" r:id="rId15"/>
    <sheet name="2.10" sheetId="29" state="hidden" r:id="rId16"/>
    <sheet name="2.11" sheetId="30" state="hidden" r:id="rId17"/>
    <sheet name="2.12" sheetId="31" state="hidden" r:id="rId18"/>
    <sheet name="2.13" sheetId="32" state="hidden" r:id="rId19"/>
    <sheet name="2.14" sheetId="34" state="hidden" r:id="rId20"/>
    <sheet name="3.1" sheetId="24" state="hidden" r:id="rId21"/>
    <sheet name="3.2" sheetId="36" state="hidden" r:id="rId22"/>
    <sheet name="3.3" sheetId="37" state="hidden" r:id="rId23"/>
    <sheet name="4.1" sheetId="53" state="hidden" r:id="rId24"/>
    <sheet name="4.2" sheetId="38" state="hidden" r:id="rId25"/>
    <sheet name="4.3" sheetId="9" state="hidden" r:id="rId26"/>
    <sheet name="4.4" sheetId="39" state="hidden" r:id="rId27"/>
    <sheet name="4.5" sheetId="40" state="hidden" r:id="rId28"/>
    <sheet name="5.1" sheetId="42" state="hidden" r:id="rId29"/>
    <sheet name="5.2" sheetId="41" state="hidden" r:id="rId30"/>
    <sheet name="5.3" sheetId="43" state="hidden" r:id="rId31"/>
    <sheet name="5.4" sheetId="44" state="hidden" r:id="rId32"/>
    <sheet name="5.5" sheetId="45" state="hidden" r:id="rId33"/>
    <sheet name="5.6" sheetId="46" state="hidden" r:id="rId34"/>
    <sheet name="5.7" sheetId="47" state="hidden" r:id="rId35"/>
    <sheet name="6.1" sheetId="35" state="hidden" r:id="rId36"/>
    <sheet name="CAUX-Hº H13" sheetId="6" state="hidden" r:id="rId37"/>
    <sheet name="CAUX-Hº H17" sheetId="48" state="hidden" r:id="rId38"/>
    <sheet name="CAUX-Hº H30" sheetId="8" state="hidden" r:id="rId39"/>
    <sheet name="LISTA" sheetId="52" state="hidden" r:id="rId40"/>
  </sheets>
  <definedNames>
    <definedName name="Seleccionar_rubro" localSheetId="23">Tabla9[Seleccionar_rubro]</definedName>
    <definedName name="Seleccionar_rubro">Tabla9[Seleccionar_rubro]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51" l="1"/>
  <c r="D57" i="51"/>
  <c r="D56" i="51"/>
  <c r="D55" i="51"/>
  <c r="D54" i="51"/>
  <c r="D53" i="51"/>
  <c r="D52" i="51"/>
  <c r="D51" i="51"/>
  <c r="D50" i="51"/>
  <c r="H46" i="17"/>
  <c r="H41" i="17"/>
  <c r="H45" i="17"/>
  <c r="C11" i="51"/>
  <c r="C12" i="51"/>
  <c r="C13" i="51"/>
  <c r="C14" i="51"/>
  <c r="C15" i="51"/>
  <c r="C16" i="51"/>
  <c r="C17" i="51"/>
  <c r="C18" i="51"/>
  <c r="C19" i="51"/>
  <c r="C20" i="51"/>
  <c r="C21" i="51"/>
  <c r="C22" i="51"/>
  <c r="C23" i="51"/>
  <c r="C24" i="51"/>
  <c r="C25" i="51"/>
  <c r="C26" i="51"/>
  <c r="C27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0" i="51"/>
  <c r="C41" i="51"/>
  <c r="C42" i="51"/>
  <c r="C43" i="51"/>
  <c r="C44" i="51"/>
  <c r="C9" i="51"/>
  <c r="C10" i="51"/>
  <c r="E11" i="51"/>
  <c r="E12" i="51"/>
  <c r="E14" i="51"/>
  <c r="E15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1" i="51"/>
  <c r="E32" i="51"/>
  <c r="E33" i="51"/>
  <c r="E34" i="51"/>
  <c r="E35" i="51"/>
  <c r="E36" i="51"/>
  <c r="E37" i="51"/>
  <c r="E38" i="51"/>
  <c r="E39" i="51"/>
  <c r="E40" i="51"/>
  <c r="E41" i="51"/>
  <c r="E42" i="51"/>
  <c r="E43" i="51"/>
  <c r="E44" i="51"/>
  <c r="E9" i="51"/>
  <c r="G45" i="17"/>
  <c r="G46" i="17"/>
  <c r="G47" i="17"/>
  <c r="G48" i="17"/>
  <c r="G49" i="17"/>
  <c r="G50" i="17"/>
  <c r="G51" i="17"/>
  <c r="G43" i="17"/>
  <c r="H43" i="17"/>
  <c r="H44" i="17"/>
  <c r="G44" i="17"/>
  <c r="E10" i="51"/>
  <c r="H42" i="17"/>
  <c r="G42" i="17"/>
  <c r="H17" i="17"/>
  <c r="H14" i="17"/>
  <c r="H15" i="17"/>
  <c r="H16" i="17"/>
  <c r="H28" i="17"/>
  <c r="H26" i="17"/>
  <c r="H27" i="17"/>
  <c r="H5" i="17"/>
  <c r="E13" i="51" l="1"/>
  <c r="F13" i="51" s="1"/>
  <c r="F43" i="51"/>
  <c r="F42" i="51"/>
  <c r="F41" i="51"/>
  <c r="F40" i="51"/>
  <c r="F39" i="51"/>
  <c r="F38" i="51"/>
  <c r="F37" i="51"/>
  <c r="F36" i="51"/>
  <c r="F35" i="51"/>
  <c r="F34" i="51"/>
  <c r="F33" i="51"/>
  <c r="F32" i="51"/>
  <c r="F31" i="51"/>
  <c r="F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2" i="51"/>
  <c r="F11" i="51"/>
  <c r="H40" i="17" l="1"/>
  <c r="H39" i="17"/>
  <c r="H38" i="17"/>
  <c r="H37" i="17"/>
  <c r="H36" i="17"/>
  <c r="H35" i="17"/>
  <c r="H34" i="17"/>
  <c r="H33" i="17"/>
  <c r="H32" i="17"/>
  <c r="H31" i="17"/>
  <c r="H30" i="17"/>
  <c r="H29" i="17"/>
  <c r="H25" i="17"/>
  <c r="H24" i="17"/>
  <c r="H23" i="17"/>
  <c r="H22" i="17"/>
  <c r="H21" i="17"/>
  <c r="H20" i="17"/>
  <c r="H19" i="17"/>
  <c r="H18" i="17"/>
  <c r="H13" i="17"/>
  <c r="H12" i="17"/>
  <c r="H11" i="17"/>
  <c r="H10" i="17"/>
  <c r="H9" i="17"/>
  <c r="H8" i="17"/>
  <c r="G16" i="7"/>
  <c r="F11" i="7"/>
  <c r="G19" i="7"/>
  <c r="G17" i="7"/>
  <c r="D21" i="40"/>
  <c r="D21" i="39"/>
  <c r="D18" i="9"/>
  <c r="D21" i="9"/>
  <c r="D21" i="38"/>
  <c r="D21" i="53"/>
  <c r="D17" i="37"/>
  <c r="D18" i="37"/>
  <c r="D19" i="37"/>
  <c r="D20" i="37"/>
  <c r="D21" i="37"/>
  <c r="D16" i="37"/>
  <c r="D20" i="36"/>
  <c r="D12" i="26"/>
  <c r="G7" i="5"/>
  <c r="G8" i="5"/>
  <c r="G10" i="5"/>
  <c r="G12" i="5"/>
  <c r="G13" i="5"/>
  <c r="G15" i="5"/>
  <c r="G16" i="5"/>
  <c r="G17" i="5"/>
  <c r="G18" i="5"/>
  <c r="G19" i="5"/>
  <c r="G20" i="5"/>
  <c r="G21" i="5"/>
  <c r="G22" i="5"/>
  <c r="G23" i="5"/>
  <c r="G24" i="5"/>
  <c r="G25" i="5"/>
  <c r="G29" i="5"/>
  <c r="G30" i="5"/>
  <c r="G32" i="5"/>
  <c r="G6" i="5"/>
  <c r="G26" i="7"/>
  <c r="G28" i="7"/>
  <c r="G6" i="7"/>
  <c r="G7" i="7"/>
  <c r="G8" i="7"/>
  <c r="G9" i="7"/>
  <c r="G10" i="7"/>
  <c r="G11" i="7"/>
  <c r="G12" i="7"/>
  <c r="G13" i="7"/>
  <c r="G14" i="7"/>
  <c r="G15" i="7"/>
  <c r="G18" i="7"/>
  <c r="G20" i="7"/>
  <c r="G21" i="7"/>
  <c r="G22" i="7"/>
  <c r="G23" i="7"/>
  <c r="G24" i="7"/>
  <c r="G25" i="7"/>
  <c r="G27" i="7"/>
  <c r="G29" i="7"/>
  <c r="G30" i="7"/>
  <c r="G31" i="7"/>
  <c r="G32" i="7"/>
  <c r="G33" i="7"/>
  <c r="G34" i="7"/>
  <c r="G35" i="7"/>
  <c r="G5" i="7"/>
  <c r="H7" i="17"/>
  <c r="H6" i="17"/>
  <c r="A21" i="53" l="1"/>
  <c r="A20" i="53"/>
  <c r="A19" i="53"/>
  <c r="A18" i="53"/>
  <c r="A17" i="53"/>
  <c r="A16" i="53"/>
  <c r="F15" i="53"/>
  <c r="E15" i="53"/>
  <c r="D15" i="53"/>
  <c r="C15" i="53"/>
  <c r="A12" i="53"/>
  <c r="D11" i="53"/>
  <c r="D20" i="53" s="1"/>
  <c r="A11" i="53"/>
  <c r="D10" i="53"/>
  <c r="D19" i="53" s="1"/>
  <c r="A10" i="53"/>
  <c r="D9" i="53"/>
  <c r="D18" i="53" s="1"/>
  <c r="A9" i="53"/>
  <c r="D8" i="53"/>
  <c r="D17" i="53" s="1"/>
  <c r="A8" i="53"/>
  <c r="D7" i="53"/>
  <c r="D16" i="53" s="1"/>
  <c r="A7" i="53"/>
  <c r="F9" i="51"/>
  <c r="D8" i="48" l="1"/>
  <c r="D15" i="48" s="1"/>
  <c r="D9" i="48"/>
  <c r="I11" i="48" s="1"/>
  <c r="D14" i="48"/>
  <c r="F13" i="48"/>
  <c r="E13" i="48"/>
  <c r="D13" i="48"/>
  <c r="C13" i="48"/>
  <c r="A9" i="48"/>
  <c r="A16" i="48" s="1"/>
  <c r="A8" i="48"/>
  <c r="A15" i="48" s="1"/>
  <c r="A7" i="48"/>
  <c r="A11" i="47"/>
  <c r="F10" i="47"/>
  <c r="E10" i="47"/>
  <c r="D10" i="47"/>
  <c r="C10" i="47"/>
  <c r="J7" i="47"/>
  <c r="D7" i="47"/>
  <c r="D11" i="47" s="1"/>
  <c r="A7" i="47"/>
  <c r="A11" i="46"/>
  <c r="F10" i="46"/>
  <c r="E10" i="46"/>
  <c r="D10" i="46"/>
  <c r="C10" i="46"/>
  <c r="J7" i="46"/>
  <c r="D7" i="46"/>
  <c r="D11" i="46" s="1"/>
  <c r="A7" i="46"/>
  <c r="H29" i="5"/>
  <c r="D7" i="45"/>
  <c r="D11" i="45" s="1"/>
  <c r="J7" i="45"/>
  <c r="A11" i="45"/>
  <c r="A7" i="45"/>
  <c r="A32" i="5"/>
  <c r="A31" i="7" s="1"/>
  <c r="F10" i="45"/>
  <c r="E10" i="45"/>
  <c r="D10" i="45"/>
  <c r="C10" i="45"/>
  <c r="A11" i="44"/>
  <c r="F10" i="44"/>
  <c r="E10" i="44"/>
  <c r="D10" i="44"/>
  <c r="C10" i="44"/>
  <c r="D7" i="44"/>
  <c r="A7" i="44"/>
  <c r="A11" i="43"/>
  <c r="F10" i="43"/>
  <c r="E10" i="43"/>
  <c r="D10" i="43"/>
  <c r="C10" i="43"/>
  <c r="D7" i="43"/>
  <c r="A7" i="43"/>
  <c r="A11" i="42"/>
  <c r="F10" i="42"/>
  <c r="E10" i="42"/>
  <c r="D10" i="42"/>
  <c r="C10" i="42"/>
  <c r="D7" i="42"/>
  <c r="D11" i="42" s="1"/>
  <c r="A7" i="42"/>
  <c r="D7" i="41"/>
  <c r="D11" i="41" s="1"/>
  <c r="A11" i="41"/>
  <c r="A7" i="41"/>
  <c r="F10" i="41"/>
  <c r="E10" i="41"/>
  <c r="D10" i="41"/>
  <c r="C10" i="41"/>
  <c r="A12" i="4"/>
  <c r="A13" i="29"/>
  <c r="A13" i="30"/>
  <c r="A8" i="31"/>
  <c r="D8" i="31"/>
  <c r="D13" i="31" s="1"/>
  <c r="D7" i="31"/>
  <c r="D12" i="31" s="1"/>
  <c r="A8" i="30"/>
  <c r="D8" i="30"/>
  <c r="D13" i="30" s="1"/>
  <c r="D7" i="30"/>
  <c r="D12" i="30" s="1"/>
  <c r="A8" i="29"/>
  <c r="D7" i="29"/>
  <c r="D12" i="29" s="1"/>
  <c r="D8" i="29"/>
  <c r="D13" i="29" s="1"/>
  <c r="D9" i="40"/>
  <c r="D18" i="40" s="1"/>
  <c r="A21" i="40"/>
  <c r="A20" i="40"/>
  <c r="A19" i="40"/>
  <c r="A18" i="40"/>
  <c r="A17" i="40"/>
  <c r="A16" i="40"/>
  <c r="F15" i="40"/>
  <c r="E15" i="40"/>
  <c r="D15" i="40"/>
  <c r="C15" i="40"/>
  <c r="A12" i="40"/>
  <c r="D11" i="40"/>
  <c r="D20" i="40" s="1"/>
  <c r="A11" i="40"/>
  <c r="D10" i="40"/>
  <c r="D19" i="40" s="1"/>
  <c r="A10" i="40"/>
  <c r="A9" i="40"/>
  <c r="D8" i="40"/>
  <c r="D17" i="40" s="1"/>
  <c r="A8" i="40"/>
  <c r="D7" i="40"/>
  <c r="D16" i="40" s="1"/>
  <c r="A7" i="40"/>
  <c r="D9" i="39"/>
  <c r="D18" i="39" s="1"/>
  <c r="A21" i="39"/>
  <c r="A20" i="39"/>
  <c r="A19" i="39"/>
  <c r="A18" i="39"/>
  <c r="A17" i="39"/>
  <c r="A16" i="39"/>
  <c r="F15" i="39"/>
  <c r="E15" i="39"/>
  <c r="D15" i="39"/>
  <c r="C15" i="39"/>
  <c r="A12" i="39"/>
  <c r="D11" i="39"/>
  <c r="D20" i="39" s="1"/>
  <c r="A11" i="39"/>
  <c r="D10" i="39"/>
  <c r="D19" i="39" s="1"/>
  <c r="A10" i="39"/>
  <c r="A9" i="39"/>
  <c r="D8" i="39"/>
  <c r="D17" i="39" s="1"/>
  <c r="A8" i="39"/>
  <c r="D7" i="39"/>
  <c r="D16" i="39" s="1"/>
  <c r="A7" i="39"/>
  <c r="D9" i="38"/>
  <c r="D18" i="38" s="1"/>
  <c r="A21" i="38"/>
  <c r="A20" i="38"/>
  <c r="A19" i="38"/>
  <c r="A18" i="38"/>
  <c r="A17" i="38"/>
  <c r="A16" i="38"/>
  <c r="F15" i="38"/>
  <c r="E15" i="38"/>
  <c r="D15" i="38"/>
  <c r="C15" i="38"/>
  <c r="A12" i="38"/>
  <c r="D11" i="38"/>
  <c r="D20" i="38" s="1"/>
  <c r="A11" i="38"/>
  <c r="D10" i="38"/>
  <c r="D19" i="38" s="1"/>
  <c r="A10" i="38"/>
  <c r="A9" i="38"/>
  <c r="D8" i="38"/>
  <c r="D17" i="38" s="1"/>
  <c r="A8" i="38"/>
  <c r="D7" i="38"/>
  <c r="D16" i="38" s="1"/>
  <c r="A7" i="38"/>
  <c r="A21" i="9"/>
  <c r="A20" i="9"/>
  <c r="A19" i="9"/>
  <c r="A18" i="9"/>
  <c r="A17" i="9"/>
  <c r="A16" i="9"/>
  <c r="A10" i="9"/>
  <c r="D10" i="9"/>
  <c r="D19" i="9" s="1"/>
  <c r="A11" i="9"/>
  <c r="D11" i="9"/>
  <c r="D20" i="9" s="1"/>
  <c r="D7" i="9"/>
  <c r="D16" i="9" s="1"/>
  <c r="H13" i="5"/>
  <c r="A9" i="35"/>
  <c r="A15" i="35" s="1"/>
  <c r="A7" i="9"/>
  <c r="A8" i="9"/>
  <c r="A9" i="9"/>
  <c r="A12" i="9"/>
  <c r="D10" i="36"/>
  <c r="D19" i="36" s="1"/>
  <c r="D17" i="24"/>
  <c r="D18" i="24"/>
  <c r="D19" i="24"/>
  <c r="D20" i="24"/>
  <c r="D21" i="24"/>
  <c r="D16" i="24"/>
  <c r="D12" i="36"/>
  <c r="D21" i="36" s="1"/>
  <c r="D9" i="36"/>
  <c r="D18" i="36" s="1"/>
  <c r="D8" i="36"/>
  <c r="D17" i="36" s="1"/>
  <c r="D7" i="36"/>
  <c r="D16" i="36" s="1"/>
  <c r="F30" i="37"/>
  <c r="G31" i="37" s="1"/>
  <c r="F25" i="37"/>
  <c r="G26" i="37" s="1"/>
  <c r="F15" i="37"/>
  <c r="E15" i="37"/>
  <c r="D15" i="37"/>
  <c r="C15" i="37"/>
  <c r="A12" i="37"/>
  <c r="A21" i="37" s="1"/>
  <c r="A11" i="37"/>
  <c r="A10" i="37"/>
  <c r="A19" i="37" s="1"/>
  <c r="A9" i="37"/>
  <c r="A8" i="37"/>
  <c r="A17" i="37" s="1"/>
  <c r="A7" i="37"/>
  <c r="A16" i="37" s="1"/>
  <c r="F30" i="36"/>
  <c r="G31" i="36" s="1"/>
  <c r="F25" i="36"/>
  <c r="G26" i="36" s="1"/>
  <c r="F15" i="36"/>
  <c r="E15" i="36"/>
  <c r="D15" i="36"/>
  <c r="C15" i="36"/>
  <c r="A12" i="36"/>
  <c r="A11" i="36"/>
  <c r="A20" i="36" s="1"/>
  <c r="A10" i="36"/>
  <c r="A9" i="36"/>
  <c r="A18" i="36" s="1"/>
  <c r="A8" i="36"/>
  <c r="A17" i="36" s="1"/>
  <c r="A7" i="36"/>
  <c r="F30" i="24"/>
  <c r="G31" i="24" s="1"/>
  <c r="F25" i="24"/>
  <c r="A31" i="5"/>
  <c r="A12" i="24"/>
  <c r="A11" i="24"/>
  <c r="E31" i="5"/>
  <c r="G31" i="5" s="1"/>
  <c r="A30" i="5"/>
  <c r="A29" i="7" s="1"/>
  <c r="H30" i="5"/>
  <c r="A10" i="24"/>
  <c r="F19" i="35"/>
  <c r="G20" i="35" s="1"/>
  <c r="G25" i="35"/>
  <c r="A7" i="35"/>
  <c r="A13" i="35" s="1"/>
  <c r="D7" i="35"/>
  <c r="D13" i="35" s="1"/>
  <c r="F12" i="35"/>
  <c r="E12" i="35"/>
  <c r="D12" i="35"/>
  <c r="C12" i="35"/>
  <c r="D9" i="35"/>
  <c r="D15" i="35" s="1"/>
  <c r="D8" i="35"/>
  <c r="D14" i="35" s="1"/>
  <c r="A8" i="35"/>
  <c r="A14" i="35" s="1"/>
  <c r="E11" i="5"/>
  <c r="D8" i="6"/>
  <c r="A12" i="19"/>
  <c r="A13" i="19"/>
  <c r="A7" i="19"/>
  <c r="F19" i="34"/>
  <c r="G20" i="34" s="1"/>
  <c r="F15" i="34"/>
  <c r="G16" i="34"/>
  <c r="M12" i="34"/>
  <c r="A11" i="34"/>
  <c r="F10" i="34"/>
  <c r="E10" i="34"/>
  <c r="D10" i="34"/>
  <c r="C10" i="34"/>
  <c r="D7" i="34"/>
  <c r="D11" i="34" s="1"/>
  <c r="A7" i="34"/>
  <c r="F19" i="32"/>
  <c r="G20" i="32" s="1"/>
  <c r="F15" i="32"/>
  <c r="A30" i="7"/>
  <c r="A32" i="7"/>
  <c r="A33" i="7"/>
  <c r="A34" i="7"/>
  <c r="A35" i="7"/>
  <c r="A11" i="32"/>
  <c r="D7" i="32"/>
  <c r="D11" i="32" s="1"/>
  <c r="A7" i="32"/>
  <c r="A7" i="4"/>
  <c r="D8" i="25"/>
  <c r="D8" i="27"/>
  <c r="D8" i="28"/>
  <c r="A13" i="27"/>
  <c r="A8" i="27"/>
  <c r="M14" i="26"/>
  <c r="M15" i="26" s="1"/>
  <c r="A8" i="28"/>
  <c r="A13" i="28" s="1"/>
  <c r="A13" i="25"/>
  <c r="A8" i="25"/>
  <c r="F18" i="21"/>
  <c r="G19" i="21" s="1"/>
  <c r="F14" i="21"/>
  <c r="G15" i="21" s="1"/>
  <c r="F19" i="22"/>
  <c r="G20" i="22" s="1"/>
  <c r="F15" i="22"/>
  <c r="D6" i="21"/>
  <c r="D10" i="21" s="1"/>
  <c r="A10" i="21"/>
  <c r="F9" i="21"/>
  <c r="E9" i="21"/>
  <c r="D9" i="21"/>
  <c r="C9" i="21"/>
  <c r="A6" i="21"/>
  <c r="F19" i="20"/>
  <c r="G20" i="20" s="1"/>
  <c r="F15" i="20"/>
  <c r="G16" i="20" s="1"/>
  <c r="A11" i="20"/>
  <c r="F10" i="20"/>
  <c r="E10" i="20"/>
  <c r="D10" i="20"/>
  <c r="C10" i="20"/>
  <c r="D7" i="20"/>
  <c r="D11" i="20" s="1"/>
  <c r="A7" i="20"/>
  <c r="F19" i="23"/>
  <c r="G20" i="23" s="1"/>
  <c r="F15" i="23"/>
  <c r="G16" i="23" s="1"/>
  <c r="A11" i="23"/>
  <c r="F10" i="23"/>
  <c r="E10" i="23"/>
  <c r="D10" i="23"/>
  <c r="C10" i="23"/>
  <c r="D7" i="23"/>
  <c r="D11" i="23" s="1"/>
  <c r="A7" i="23"/>
  <c r="A29" i="5"/>
  <c r="A28" i="7" s="1"/>
  <c r="A28" i="5"/>
  <c r="A27" i="7" s="1"/>
  <c r="A27" i="5"/>
  <c r="A26" i="7" s="1"/>
  <c r="A26" i="5"/>
  <c r="A25" i="7" s="1"/>
  <c r="A25" i="5"/>
  <c r="A24" i="7" s="1"/>
  <c r="A24" i="5"/>
  <c r="A23" i="7" s="1"/>
  <c r="A23" i="5"/>
  <c r="A22" i="7" s="1"/>
  <c r="A22" i="5"/>
  <c r="A21" i="7" s="1"/>
  <c r="A11" i="22"/>
  <c r="A7" i="22"/>
  <c r="H21" i="5"/>
  <c r="A21" i="5"/>
  <c r="A20" i="7" s="1"/>
  <c r="A20" i="5"/>
  <c r="D8" i="4"/>
  <c r="D13" i="4" s="1"/>
  <c r="A8" i="4"/>
  <c r="E9" i="5"/>
  <c r="G9" i="5" s="1"/>
  <c r="A8" i="5"/>
  <c r="A9" i="5"/>
  <c r="A10" i="5"/>
  <c r="A11" i="5"/>
  <c r="A12" i="5"/>
  <c r="A13" i="5"/>
  <c r="A14" i="5"/>
  <c r="A15" i="5"/>
  <c r="A16" i="5"/>
  <c r="A17" i="5"/>
  <c r="A18" i="5"/>
  <c r="A19" i="5"/>
  <c r="A7" i="5"/>
  <c r="H23" i="5"/>
  <c r="A7" i="26"/>
  <c r="A12" i="26" s="1"/>
  <c r="D8" i="26"/>
  <c r="D13" i="26" s="1"/>
  <c r="G10" i="17"/>
  <c r="M10" i="25" l="1"/>
  <c r="K10" i="25" s="1"/>
  <c r="K12" i="25" s="1"/>
  <c r="D7" i="25" s="1"/>
  <c r="D12" i="25" s="1"/>
  <c r="D13" i="25"/>
  <c r="E14" i="5"/>
  <c r="G14" i="5" s="1"/>
  <c r="G11" i="5"/>
  <c r="O7" i="28"/>
  <c r="M7" i="28" s="1"/>
  <c r="M9" i="28" s="1"/>
  <c r="D7" i="28" s="1"/>
  <c r="D12" i="28" s="1"/>
  <c r="D13" i="28"/>
  <c r="M10" i="27"/>
  <c r="K10" i="27" s="1"/>
  <c r="K12" i="27" s="1"/>
  <c r="D7" i="27" s="1"/>
  <c r="D12" i="27" s="1"/>
  <c r="D13" i="27"/>
  <c r="D16" i="48"/>
  <c r="A14" i="48"/>
  <c r="D11" i="43"/>
  <c r="D11" i="44"/>
  <c r="A20" i="37"/>
  <c r="A18" i="37"/>
  <c r="A19" i="36"/>
  <c r="A16" i="36"/>
  <c r="A21" i="36"/>
  <c r="A19" i="24"/>
  <c r="A20" i="24"/>
  <c r="G20" i="18"/>
  <c r="G6" i="17"/>
  <c r="G16" i="32"/>
  <c r="F10" i="32"/>
  <c r="E10" i="32"/>
  <c r="D10" i="32"/>
  <c r="C10" i="32"/>
  <c r="A13" i="31"/>
  <c r="F11" i="31"/>
  <c r="E11" i="31"/>
  <c r="D11" i="31"/>
  <c r="C11" i="31"/>
  <c r="A7" i="31"/>
  <c r="A12" i="31" s="1"/>
  <c r="F11" i="30"/>
  <c r="E11" i="30"/>
  <c r="D11" i="30"/>
  <c r="C11" i="30"/>
  <c r="A7" i="30"/>
  <c r="A12" i="30" s="1"/>
  <c r="A7" i="29"/>
  <c r="F11" i="29"/>
  <c r="E11" i="29"/>
  <c r="D11" i="29"/>
  <c r="C11" i="29"/>
  <c r="A12" i="28"/>
  <c r="F11" i="28"/>
  <c r="E11" i="28"/>
  <c r="D11" i="28"/>
  <c r="C11" i="28"/>
  <c r="A7" i="28"/>
  <c r="A12" i="27"/>
  <c r="F11" i="27"/>
  <c r="E11" i="27"/>
  <c r="D11" i="27"/>
  <c r="C11" i="27"/>
  <c r="A7" i="27"/>
  <c r="A12" i="25"/>
  <c r="A7" i="25"/>
  <c r="A8" i="26"/>
  <c r="A13" i="26" s="1"/>
  <c r="F11" i="26"/>
  <c r="E11" i="26"/>
  <c r="D11" i="26"/>
  <c r="C11" i="26"/>
  <c r="F11" i="25"/>
  <c r="E11" i="25"/>
  <c r="D11" i="25"/>
  <c r="C11" i="25"/>
  <c r="F15" i="24"/>
  <c r="E15" i="24"/>
  <c r="D15" i="24"/>
  <c r="C15" i="24"/>
  <c r="A9" i="24"/>
  <c r="A18" i="24" s="1"/>
  <c r="A8" i="24"/>
  <c r="A17" i="24" s="1"/>
  <c r="A7" i="24"/>
  <c r="A16" i="24" s="1"/>
  <c r="G16" i="22"/>
  <c r="F10" i="22"/>
  <c r="E10" i="22"/>
  <c r="D10" i="22"/>
  <c r="C10" i="22"/>
  <c r="D7" i="22"/>
  <c r="D11" i="22" s="1"/>
  <c r="F11" i="19"/>
  <c r="E11" i="19"/>
  <c r="D11" i="19"/>
  <c r="C11" i="19"/>
  <c r="D8" i="19"/>
  <c r="D13" i="19" s="1"/>
  <c r="A8" i="19"/>
  <c r="D7" i="19"/>
  <c r="D12" i="19" s="1"/>
  <c r="D7" i="4"/>
  <c r="D12" i="4" s="1"/>
  <c r="A12" i="29" l="1"/>
  <c r="M10" i="28"/>
  <c r="A21" i="24"/>
  <c r="A7" i="18"/>
  <c r="G16" i="18"/>
  <c r="F10" i="18"/>
  <c r="E10" i="18"/>
  <c r="D10" i="18"/>
  <c r="C10" i="18"/>
  <c r="D11" i="18"/>
  <c r="A11" i="18" l="1"/>
  <c r="G26" i="24"/>
  <c r="H10" i="5" l="1"/>
  <c r="H11" i="5"/>
  <c r="H12" i="5"/>
  <c r="H14" i="5"/>
  <c r="H15" i="5"/>
  <c r="H16" i="5"/>
  <c r="H17" i="5"/>
  <c r="H18" i="5"/>
  <c r="H19" i="5"/>
  <c r="A19" i="7"/>
  <c r="D8" i="9" l="1"/>
  <c r="D17" i="9" s="1"/>
  <c r="F15" i="9"/>
  <c r="E15" i="9"/>
  <c r="D15" i="9"/>
  <c r="C15" i="9"/>
  <c r="D9" i="8"/>
  <c r="D8" i="8"/>
  <c r="D15" i="8" s="1"/>
  <c r="D9" i="6"/>
  <c r="D14" i="8"/>
  <c r="F13" i="8"/>
  <c r="E13" i="8"/>
  <c r="D13" i="8"/>
  <c r="C13" i="8"/>
  <c r="A9" i="8"/>
  <c r="A8" i="8"/>
  <c r="A7" i="8"/>
  <c r="A13" i="4"/>
  <c r="A17" i="7"/>
  <c r="A18" i="7"/>
  <c r="I11" i="8" l="1"/>
  <c r="A14" i="8"/>
  <c r="A15" i="8"/>
  <c r="D16" i="8"/>
  <c r="A16" i="8"/>
  <c r="A9" i="6" l="1"/>
  <c r="A8" i="6"/>
  <c r="A7" i="6"/>
  <c r="A6" i="5"/>
  <c r="D15" i="6"/>
  <c r="C13" i="6"/>
  <c r="D13" i="6"/>
  <c r="E13" i="6"/>
  <c r="F13" i="6"/>
  <c r="D14" i="6"/>
  <c r="H32" i="5"/>
  <c r="H31" i="5"/>
  <c r="H25" i="5"/>
  <c r="H24" i="5"/>
  <c r="H22" i="5"/>
  <c r="H20" i="5"/>
  <c r="A16" i="7"/>
  <c r="A15" i="7"/>
  <c r="A14" i="7"/>
  <c r="A13" i="7"/>
  <c r="B13" i="7" s="1"/>
  <c r="A12" i="7"/>
  <c r="A11" i="7"/>
  <c r="A10" i="7"/>
  <c r="A9" i="7"/>
  <c r="A8" i="7"/>
  <c r="A7" i="7"/>
  <c r="A6" i="7"/>
  <c r="B6" i="7" s="1"/>
  <c r="F11" i="4"/>
  <c r="E11" i="4"/>
  <c r="D11" i="4"/>
  <c r="C11" i="4"/>
  <c r="B14" i="7" l="1"/>
  <c r="B16" i="7"/>
  <c r="C9" i="53"/>
  <c r="C7" i="53"/>
  <c r="B9" i="53"/>
  <c r="B10" i="53"/>
  <c r="C12" i="53"/>
  <c r="C11" i="53"/>
  <c r="B7" i="53"/>
  <c r="C10" i="53"/>
  <c r="B8" i="53"/>
  <c r="B11" i="53"/>
  <c r="B12" i="53"/>
  <c r="C8" i="53"/>
  <c r="E12" i="53"/>
  <c r="F12" i="53" s="1"/>
  <c r="C7" i="18"/>
  <c r="E11" i="53"/>
  <c r="F11" i="53" s="1"/>
  <c r="E10" i="53"/>
  <c r="F10" i="53" s="1"/>
  <c r="E9" i="53"/>
  <c r="F9" i="53" s="1"/>
  <c r="B7" i="7"/>
  <c r="B8" i="7"/>
  <c r="B10" i="7"/>
  <c r="H10" i="7"/>
  <c r="I10" i="7" s="1"/>
  <c r="J10" i="7" s="1"/>
  <c r="B11" i="7"/>
  <c r="H11" i="7"/>
  <c r="B15" i="7"/>
  <c r="B12" i="7"/>
  <c r="H12" i="7"/>
  <c r="E7" i="34"/>
  <c r="F7" i="34" s="1"/>
  <c r="G8" i="34" s="1"/>
  <c r="E7" i="22"/>
  <c r="C9" i="48"/>
  <c r="B9" i="48"/>
  <c r="B7" i="38"/>
  <c r="B8" i="40"/>
  <c r="C12" i="39"/>
  <c r="C10" i="38"/>
  <c r="B12" i="39"/>
  <c r="C8" i="39"/>
  <c r="B12" i="38"/>
  <c r="C10" i="37"/>
  <c r="C11" i="36"/>
  <c r="C7" i="48"/>
  <c r="C7" i="43"/>
  <c r="B8" i="39"/>
  <c r="C12" i="38"/>
  <c r="C9" i="38"/>
  <c r="C8" i="36"/>
  <c r="B12" i="40"/>
  <c r="C12" i="40"/>
  <c r="C7" i="45"/>
  <c r="C7" i="41"/>
  <c r="C10" i="40"/>
  <c r="B8" i="36"/>
  <c r="C7" i="46"/>
  <c r="E11" i="36"/>
  <c r="F11" i="36" s="1"/>
  <c r="B22" i="7"/>
  <c r="B10" i="40"/>
  <c r="C7" i="20"/>
  <c r="B11" i="36"/>
  <c r="C8" i="40"/>
  <c r="B8" i="48"/>
  <c r="E7" i="41"/>
  <c r="F7" i="41" s="1"/>
  <c r="G8" i="41" s="1"/>
  <c r="F15" i="41" s="1"/>
  <c r="G16" i="41" s="1"/>
  <c r="B7" i="41"/>
  <c r="B9" i="39"/>
  <c r="C10" i="9"/>
  <c r="B8" i="37"/>
  <c r="B9" i="35"/>
  <c r="B6" i="21"/>
  <c r="C6" i="21"/>
  <c r="E12" i="40"/>
  <c r="F12" i="40" s="1"/>
  <c r="B10" i="36"/>
  <c r="B7" i="42"/>
  <c r="C7" i="38"/>
  <c r="C7" i="23"/>
  <c r="B10" i="9"/>
  <c r="C9" i="39"/>
  <c r="B20" i="7"/>
  <c r="C8" i="48"/>
  <c r="E7" i="43"/>
  <c r="F7" i="43" s="1"/>
  <c r="G8" i="43" s="1"/>
  <c r="F15" i="43" s="1"/>
  <c r="G16" i="43" s="1"/>
  <c r="E7" i="20"/>
  <c r="F7" i="20" s="1"/>
  <c r="G8" i="20" s="1"/>
  <c r="C7" i="39"/>
  <c r="B7" i="9"/>
  <c r="C11" i="37"/>
  <c r="B9" i="36"/>
  <c r="C11" i="24"/>
  <c r="C7" i="35"/>
  <c r="C7" i="40"/>
  <c r="C9" i="40"/>
  <c r="B12" i="36"/>
  <c r="B7" i="43"/>
  <c r="B11" i="40"/>
  <c r="B21" i="7"/>
  <c r="B10" i="37"/>
  <c r="C7" i="9"/>
  <c r="B11" i="24"/>
  <c r="B24" i="7"/>
  <c r="B7" i="45"/>
  <c r="C10" i="39"/>
  <c r="B7" i="37"/>
  <c r="C8" i="37"/>
  <c r="C12" i="36"/>
  <c r="E11" i="24"/>
  <c r="F11" i="24" s="1"/>
  <c r="C9" i="35"/>
  <c r="B7" i="20"/>
  <c r="B7" i="23"/>
  <c r="B12" i="24"/>
  <c r="B11" i="38"/>
  <c r="B7" i="19"/>
  <c r="B10" i="38"/>
  <c r="B7" i="35"/>
  <c r="B10" i="39"/>
  <c r="C11" i="39"/>
  <c r="B23" i="7"/>
  <c r="C11" i="38"/>
  <c r="E12" i="38"/>
  <c r="F12" i="38" s="1"/>
  <c r="B7" i="48"/>
  <c r="B7" i="34"/>
  <c r="B11" i="39"/>
  <c r="C7" i="37"/>
  <c r="B12" i="37"/>
  <c r="B10" i="24"/>
  <c r="B8" i="35"/>
  <c r="E11" i="37"/>
  <c r="C7" i="47"/>
  <c r="E6" i="21"/>
  <c r="F6" i="21" s="1"/>
  <c r="G7" i="21" s="1"/>
  <c r="E7" i="44"/>
  <c r="F7" i="44" s="1"/>
  <c r="G8" i="44" s="1"/>
  <c r="F15" i="44" s="1"/>
  <c r="G16" i="44" s="1"/>
  <c r="B7" i="4"/>
  <c r="C7" i="4"/>
  <c r="C7" i="36"/>
  <c r="C10" i="24"/>
  <c r="B9" i="38"/>
  <c r="B7" i="47"/>
  <c r="B9" i="40"/>
  <c r="C8" i="38"/>
  <c r="C9" i="37"/>
  <c r="C12" i="37"/>
  <c r="E7" i="23"/>
  <c r="F7" i="23" s="1"/>
  <c r="G8" i="23" s="1"/>
  <c r="C8" i="35"/>
  <c r="C7" i="34"/>
  <c r="B7" i="44"/>
  <c r="C10" i="36"/>
  <c r="B9" i="37"/>
  <c r="C7" i="42"/>
  <c r="C11" i="40"/>
  <c r="C11" i="9"/>
  <c r="E12" i="39"/>
  <c r="F12" i="39" s="1"/>
  <c r="B7" i="46"/>
  <c r="E7" i="42"/>
  <c r="F7" i="42" s="1"/>
  <c r="G8" i="42" s="1"/>
  <c r="F15" i="42" s="1"/>
  <c r="G16" i="42" s="1"/>
  <c r="B7" i="40"/>
  <c r="B8" i="38"/>
  <c r="B11" i="37"/>
  <c r="B7" i="36"/>
  <c r="C9" i="36"/>
  <c r="E8" i="27"/>
  <c r="F8" i="27" s="1"/>
  <c r="C7" i="19"/>
  <c r="B7" i="39"/>
  <c r="C7" i="44"/>
  <c r="B11" i="9"/>
  <c r="B27" i="7"/>
  <c r="B26" i="7"/>
  <c r="E9" i="35"/>
  <c r="F9" i="35" s="1"/>
  <c r="B25" i="7"/>
  <c r="B19" i="7"/>
  <c r="E11" i="38"/>
  <c r="F11" i="38" s="1"/>
  <c r="E10" i="24"/>
  <c r="F10" i="24" s="1"/>
  <c r="E9" i="36"/>
  <c r="F9" i="36" s="1"/>
  <c r="E8" i="37"/>
  <c r="E10" i="37"/>
  <c r="E9" i="39"/>
  <c r="F9" i="39" s="1"/>
  <c r="E11" i="40"/>
  <c r="F11" i="40" s="1"/>
  <c r="E9" i="37"/>
  <c r="E11" i="39"/>
  <c r="F11" i="39" s="1"/>
  <c r="E10" i="36"/>
  <c r="F10" i="36" s="1"/>
  <c r="E9" i="38"/>
  <c r="F9" i="38" s="1"/>
  <c r="E11" i="9"/>
  <c r="F11" i="9" s="1"/>
  <c r="E8" i="36"/>
  <c r="F8" i="36" s="1"/>
  <c r="E10" i="39"/>
  <c r="F10" i="39" s="1"/>
  <c r="E9" i="40"/>
  <c r="F9" i="40" s="1"/>
  <c r="E8" i="35"/>
  <c r="F8" i="35" s="1"/>
  <c r="E10" i="40"/>
  <c r="F10" i="40" s="1"/>
  <c r="E7" i="36"/>
  <c r="F7" i="36" s="1"/>
  <c r="E10" i="9"/>
  <c r="F10" i="9" s="1"/>
  <c r="E10" i="38"/>
  <c r="F10" i="38" s="1"/>
  <c r="E7" i="37"/>
  <c r="B18" i="7"/>
  <c r="B17" i="7"/>
  <c r="B9" i="7"/>
  <c r="E12" i="36"/>
  <c r="F12" i="36" s="1"/>
  <c r="E12" i="37"/>
  <c r="C7" i="6"/>
  <c r="B8" i="4"/>
  <c r="C8" i="4"/>
  <c r="E9" i="9"/>
  <c r="F9" i="9" s="1"/>
  <c r="E12" i="9"/>
  <c r="F12" i="9" s="1"/>
  <c r="C7" i="31"/>
  <c r="B7" i="25"/>
  <c r="C9" i="24"/>
  <c r="B7" i="29"/>
  <c r="B9" i="24"/>
  <c r="C7" i="27"/>
  <c r="C8" i="19"/>
  <c r="C8" i="26"/>
  <c r="B8" i="25"/>
  <c r="C7" i="26"/>
  <c r="C7" i="28"/>
  <c r="B7" i="26"/>
  <c r="B7" i="32"/>
  <c r="B8" i="31"/>
  <c r="C8" i="28"/>
  <c r="B7" i="27"/>
  <c r="C7" i="25"/>
  <c r="C7" i="32"/>
  <c r="C8" i="30"/>
  <c r="C8" i="27"/>
  <c r="C7" i="24"/>
  <c r="C8" i="25"/>
  <c r="C7" i="30"/>
  <c r="B8" i="27"/>
  <c r="C7" i="22"/>
  <c r="B7" i="30"/>
  <c r="B7" i="31"/>
  <c r="B8" i="30"/>
  <c r="B8" i="26"/>
  <c r="B7" i="22"/>
  <c r="B7" i="28"/>
  <c r="C7" i="29"/>
  <c r="C8" i="24"/>
  <c r="B8" i="28"/>
  <c r="C8" i="31"/>
  <c r="B8" i="19"/>
  <c r="B8" i="29"/>
  <c r="B8" i="24"/>
  <c r="C8" i="29"/>
  <c r="C12" i="24"/>
  <c r="B7" i="24"/>
  <c r="B7" i="18"/>
  <c r="E12" i="24"/>
  <c r="F12" i="24" s="1"/>
  <c r="H34" i="7"/>
  <c r="I34" i="7" s="1"/>
  <c r="H32" i="7"/>
  <c r="I32" i="7" s="1"/>
  <c r="C22" i="7"/>
  <c r="C21" i="7"/>
  <c r="C29" i="7"/>
  <c r="E7" i="32"/>
  <c r="F7" i="32" s="1"/>
  <c r="E7" i="25"/>
  <c r="F7" i="25" s="1"/>
  <c r="H30" i="7"/>
  <c r="I30" i="7" s="1"/>
  <c r="J30" i="7" s="1"/>
  <c r="D20" i="7"/>
  <c r="C34" i="7"/>
  <c r="D27" i="7"/>
  <c r="D22" i="7"/>
  <c r="D21" i="7"/>
  <c r="D29" i="7"/>
  <c r="E7" i="24"/>
  <c r="F7" i="24" s="1"/>
  <c r="B30" i="7"/>
  <c r="C20" i="7"/>
  <c r="C25" i="7"/>
  <c r="B33" i="7"/>
  <c r="H27" i="7"/>
  <c r="I27" i="7" s="1"/>
  <c r="J27" i="7" s="1"/>
  <c r="H35" i="7"/>
  <c r="I35" i="7" s="1"/>
  <c r="H22" i="7"/>
  <c r="I22" i="7" s="1"/>
  <c r="J22" i="7" s="1"/>
  <c r="H21" i="7"/>
  <c r="I21" i="7" s="1"/>
  <c r="J21" i="7" s="1"/>
  <c r="H29" i="7"/>
  <c r="I29" i="7" s="1"/>
  <c r="J29" i="7" s="1"/>
  <c r="B32" i="7"/>
  <c r="B31" i="7"/>
  <c r="D23" i="7"/>
  <c r="B35" i="7"/>
  <c r="H20" i="7"/>
  <c r="I20" i="7" s="1"/>
  <c r="J20" i="7" s="1"/>
  <c r="D25" i="7"/>
  <c r="C33" i="7"/>
  <c r="C27" i="7"/>
  <c r="C35" i="7"/>
  <c r="B28" i="7"/>
  <c r="E8" i="24"/>
  <c r="F8" i="24" s="1"/>
  <c r="B29" i="7"/>
  <c r="D34" i="7"/>
  <c r="H25" i="7"/>
  <c r="I25" i="7" s="1"/>
  <c r="J25" i="7" s="1"/>
  <c r="H33" i="7"/>
  <c r="I33" i="7" s="1"/>
  <c r="D35" i="7"/>
  <c r="H31" i="7"/>
  <c r="I31" i="7" s="1"/>
  <c r="J31" i="7" s="1"/>
  <c r="D19" i="7"/>
  <c r="C28" i="7"/>
  <c r="E9" i="24"/>
  <c r="F9" i="24" s="1"/>
  <c r="D32" i="7"/>
  <c r="E7" i="27"/>
  <c r="F7" i="27" s="1"/>
  <c r="C24" i="7"/>
  <c r="D26" i="7"/>
  <c r="D33" i="7"/>
  <c r="H23" i="7"/>
  <c r="I23" i="7" s="1"/>
  <c r="J23" i="7" s="1"/>
  <c r="D30" i="7"/>
  <c r="C31" i="7"/>
  <c r="C19" i="7"/>
  <c r="D28" i="7"/>
  <c r="E7" i="28"/>
  <c r="F7" i="28" s="1"/>
  <c r="H24" i="7"/>
  <c r="I24" i="7" s="1"/>
  <c r="J24" i="7" s="1"/>
  <c r="D24" i="7"/>
  <c r="H26" i="7"/>
  <c r="I26" i="7" s="1"/>
  <c r="J26" i="7" s="1"/>
  <c r="B34" i="7"/>
  <c r="C32" i="7"/>
  <c r="C23" i="7"/>
  <c r="C30" i="7"/>
  <c r="D31" i="7"/>
  <c r="H19" i="7"/>
  <c r="I19" i="7" s="1"/>
  <c r="J19" i="7" s="1"/>
  <c r="H28" i="7"/>
  <c r="I28" i="7" s="1"/>
  <c r="J28" i="7" s="1"/>
  <c r="E7" i="26"/>
  <c r="F7" i="26" s="1"/>
  <c r="C26" i="7"/>
  <c r="B8" i="8"/>
  <c r="C8" i="8"/>
  <c r="B9" i="9"/>
  <c r="C9" i="8"/>
  <c r="B12" i="9"/>
  <c r="B8" i="9"/>
  <c r="B7" i="8"/>
  <c r="C7" i="8"/>
  <c r="C9" i="9"/>
  <c r="B9" i="8"/>
  <c r="C12" i="9"/>
  <c r="C8" i="9"/>
  <c r="E7" i="18"/>
  <c r="F7" i="18" s="1"/>
  <c r="G8" i="18" s="1"/>
  <c r="E8" i="26"/>
  <c r="F8" i="26" s="1"/>
  <c r="E8" i="25"/>
  <c r="F8" i="25" s="1"/>
  <c r="E8" i="29"/>
  <c r="F8" i="29" s="1"/>
  <c r="G9" i="29" s="1"/>
  <c r="F17" i="29" s="1"/>
  <c r="G18" i="29" s="1"/>
  <c r="E8" i="31"/>
  <c r="F8" i="31" s="1"/>
  <c r="G9" i="31" s="1"/>
  <c r="E8" i="30"/>
  <c r="F8" i="30" s="1"/>
  <c r="G9" i="30" s="1"/>
  <c r="F7" i="22"/>
  <c r="G8" i="22" s="1"/>
  <c r="E8" i="28"/>
  <c r="F8" i="28" s="1"/>
  <c r="D7" i="7"/>
  <c r="C7" i="7"/>
  <c r="I7" i="7"/>
  <c r="J7" i="7" s="1"/>
  <c r="D11" i="7"/>
  <c r="I11" i="7"/>
  <c r="J11" i="7" s="1"/>
  <c r="C11" i="7"/>
  <c r="H17" i="7"/>
  <c r="I17" i="7" s="1"/>
  <c r="J17" i="7" s="1"/>
  <c r="A5" i="7"/>
  <c r="H18" i="7"/>
  <c r="I18" i="7" s="1"/>
  <c r="J18" i="7" s="1"/>
  <c r="D17" i="7"/>
  <c r="D18" i="7"/>
  <c r="C18" i="7"/>
  <c r="C17" i="7"/>
  <c r="D15" i="7"/>
  <c r="C15" i="7"/>
  <c r="H15" i="7"/>
  <c r="I15" i="7" s="1"/>
  <c r="J15" i="7" s="1"/>
  <c r="C12" i="7"/>
  <c r="C21" i="53" s="1"/>
  <c r="D12" i="7"/>
  <c r="I12" i="7"/>
  <c r="J12" i="7" s="1"/>
  <c r="C8" i="6"/>
  <c r="C9" i="6"/>
  <c r="I9" i="7"/>
  <c r="J9" i="7" s="1"/>
  <c r="C9" i="7"/>
  <c r="D9" i="7"/>
  <c r="C13" i="7"/>
  <c r="D13" i="7"/>
  <c r="H13" i="7"/>
  <c r="I13" i="7" s="1"/>
  <c r="J13" i="7" s="1"/>
  <c r="H16" i="7"/>
  <c r="I16" i="7" s="1"/>
  <c r="J16" i="7" s="1"/>
  <c r="C16" i="7"/>
  <c r="D16" i="7"/>
  <c r="I8" i="7"/>
  <c r="J8" i="7" s="1"/>
  <c r="C8" i="7"/>
  <c r="C17" i="53" s="1"/>
  <c r="D8" i="7"/>
  <c r="D6" i="7"/>
  <c r="C6" i="7"/>
  <c r="I6" i="7"/>
  <c r="J6" i="7" s="1"/>
  <c r="H7" i="5"/>
  <c r="C10" i="7"/>
  <c r="D10" i="7"/>
  <c r="H14" i="7"/>
  <c r="I14" i="7" s="1"/>
  <c r="J14" i="7" s="1"/>
  <c r="C14" i="7"/>
  <c r="D14" i="7"/>
  <c r="B7" i="6"/>
  <c r="A14" i="6"/>
  <c r="B9" i="6"/>
  <c r="A16" i="6"/>
  <c r="B8" i="6"/>
  <c r="A15" i="6"/>
  <c r="E15" i="6" s="1"/>
  <c r="F15" i="6" s="1"/>
  <c r="D16" i="6"/>
  <c r="I11" i="6"/>
  <c r="H6" i="5"/>
  <c r="E7" i="48" s="1"/>
  <c r="F7" i="48" s="1"/>
  <c r="H8" i="5"/>
  <c r="E9" i="48" s="1"/>
  <c r="F9" i="48" s="1"/>
  <c r="H9" i="5"/>
  <c r="E8" i="53" s="1"/>
  <c r="F8" i="53" s="1"/>
  <c r="E16" i="6" l="1"/>
  <c r="F16" i="6" s="1"/>
  <c r="B17" i="53"/>
  <c r="E13" i="19"/>
  <c r="F13" i="19" s="1"/>
  <c r="E13" i="25"/>
  <c r="F13" i="25" s="1"/>
  <c r="E16" i="48"/>
  <c r="F16" i="48" s="1"/>
  <c r="E15" i="48"/>
  <c r="F15" i="48" s="1"/>
  <c r="E12" i="4"/>
  <c r="F12" i="4" s="1"/>
  <c r="E12" i="26"/>
  <c r="F12" i="26" s="1"/>
  <c r="E12" i="19"/>
  <c r="F12" i="19" s="1"/>
  <c r="E17" i="24"/>
  <c r="F17" i="24" s="1"/>
  <c r="E12" i="30"/>
  <c r="F12" i="30" s="1"/>
  <c r="E16" i="24"/>
  <c r="F16" i="24" s="1"/>
  <c r="E12" i="27"/>
  <c r="F12" i="27" s="1"/>
  <c r="E12" i="29"/>
  <c r="F12" i="29" s="1"/>
  <c r="E12" i="31"/>
  <c r="F12" i="31" s="1"/>
  <c r="E19" i="24"/>
  <c r="F19" i="24" s="1"/>
  <c r="E13" i="26"/>
  <c r="F13" i="26" s="1"/>
  <c r="E18" i="24"/>
  <c r="F18" i="24" s="1"/>
  <c r="E12" i="25"/>
  <c r="F12" i="25" s="1"/>
  <c r="G14" i="25" s="1"/>
  <c r="E12" i="28"/>
  <c r="F12" i="28" s="1"/>
  <c r="E13" i="31"/>
  <c r="F13" i="31" s="1"/>
  <c r="E20" i="24"/>
  <c r="F20" i="24" s="1"/>
  <c r="E14" i="48"/>
  <c r="F14" i="48" s="1"/>
  <c r="E21" i="24"/>
  <c r="F21" i="24" s="1"/>
  <c r="E13" i="4"/>
  <c r="F13" i="4" s="1"/>
  <c r="E15" i="8"/>
  <c r="F15" i="8" s="1"/>
  <c r="E16" i="8"/>
  <c r="F16" i="8" s="1"/>
  <c r="E14" i="8"/>
  <c r="F14" i="8" s="1"/>
  <c r="E14" i="6"/>
  <c r="F14" i="6" s="1"/>
  <c r="B16" i="53"/>
  <c r="B16" i="48"/>
  <c r="E19" i="53"/>
  <c r="F19" i="53" s="1"/>
  <c r="E17" i="53"/>
  <c r="F17" i="53" s="1"/>
  <c r="E21" i="53"/>
  <c r="F21" i="53" s="1"/>
  <c r="E16" i="53"/>
  <c r="F16" i="53" s="1"/>
  <c r="E18" i="53"/>
  <c r="F18" i="53" s="1"/>
  <c r="E20" i="53"/>
  <c r="F20" i="53" s="1"/>
  <c r="C16" i="53"/>
  <c r="C20" i="53"/>
  <c r="C19" i="53"/>
  <c r="C12" i="4"/>
  <c r="C18" i="53"/>
  <c r="B21" i="53"/>
  <c r="B19" i="53"/>
  <c r="B18" i="53"/>
  <c r="B20" i="53"/>
  <c r="C15" i="48"/>
  <c r="C16" i="48"/>
  <c r="C14" i="35"/>
  <c r="G13" i="36"/>
  <c r="E8" i="19"/>
  <c r="F8" i="19" s="1"/>
  <c r="E8" i="39"/>
  <c r="F8" i="39" s="1"/>
  <c r="E8" i="40"/>
  <c r="F8" i="40" s="1"/>
  <c r="E8" i="38"/>
  <c r="F8" i="38" s="1"/>
  <c r="B20" i="9"/>
  <c r="B19" i="38"/>
  <c r="B18" i="9"/>
  <c r="B17" i="38"/>
  <c r="B21" i="40"/>
  <c r="E7" i="46"/>
  <c r="F7" i="46" s="1"/>
  <c r="G8" i="46" s="1"/>
  <c r="F15" i="46" s="1"/>
  <c r="G16" i="46" s="1"/>
  <c r="E7" i="45"/>
  <c r="F7" i="45" s="1"/>
  <c r="G8" i="45" s="1"/>
  <c r="F15" i="45" s="1"/>
  <c r="G16" i="45" s="1"/>
  <c r="E8" i="48"/>
  <c r="F8" i="48" s="1"/>
  <c r="G10" i="48" s="1"/>
  <c r="F21" i="48" s="1"/>
  <c r="G22" i="48" s="1"/>
  <c r="E7" i="47"/>
  <c r="F7" i="47" s="1"/>
  <c r="G8" i="47" s="1"/>
  <c r="F15" i="47" s="1"/>
  <c r="G16" i="47" s="1"/>
  <c r="B18" i="38"/>
  <c r="B17" i="9"/>
  <c r="B21" i="39"/>
  <c r="B18" i="39"/>
  <c r="B17" i="40"/>
  <c r="B21" i="38"/>
  <c r="B16" i="24"/>
  <c r="B18" i="40"/>
  <c r="B17" i="39"/>
  <c r="B11" i="47"/>
  <c r="C13" i="35"/>
  <c r="B20" i="38"/>
  <c r="B19" i="40"/>
  <c r="B11" i="46"/>
  <c r="B20" i="39"/>
  <c r="B19" i="39"/>
  <c r="B16" i="37"/>
  <c r="E19" i="40"/>
  <c r="F19" i="40" s="1"/>
  <c r="E13" i="30"/>
  <c r="F13" i="30" s="1"/>
  <c r="E17" i="39"/>
  <c r="F17" i="39" s="1"/>
  <c r="E17" i="40"/>
  <c r="F17" i="40" s="1"/>
  <c r="E11" i="43"/>
  <c r="F11" i="43" s="1"/>
  <c r="G12" i="43" s="1"/>
  <c r="G18" i="43" s="1"/>
  <c r="G36" i="17" s="1"/>
  <c r="E13" i="27"/>
  <c r="F13" i="27" s="1"/>
  <c r="E21" i="39"/>
  <c r="F21" i="39" s="1"/>
  <c r="E13" i="28"/>
  <c r="F13" i="28" s="1"/>
  <c r="G14" i="28" s="1"/>
  <c r="E21" i="40"/>
  <c r="F21" i="40" s="1"/>
  <c r="E11" i="41"/>
  <c r="F11" i="41" s="1"/>
  <c r="G12" i="41" s="1"/>
  <c r="G18" i="41" s="1"/>
  <c r="G35" i="17" s="1"/>
  <c r="E13" i="29"/>
  <c r="F13" i="29" s="1"/>
  <c r="E19" i="39"/>
  <c r="F19" i="39" s="1"/>
  <c r="E11" i="47"/>
  <c r="F11" i="47" s="1"/>
  <c r="G12" i="47" s="1"/>
  <c r="E18" i="39"/>
  <c r="F18" i="39" s="1"/>
  <c r="E18" i="9"/>
  <c r="F18" i="9" s="1"/>
  <c r="E11" i="42"/>
  <c r="F11" i="42" s="1"/>
  <c r="G12" i="42" s="1"/>
  <c r="G18" i="42" s="1"/>
  <c r="G34" i="17" s="1"/>
  <c r="E11" i="46"/>
  <c r="F11" i="46" s="1"/>
  <c r="G12" i="46" s="1"/>
  <c r="E16" i="9"/>
  <c r="F16" i="9" s="1"/>
  <c r="E16" i="38"/>
  <c r="F16" i="38" s="1"/>
  <c r="E17" i="9"/>
  <c r="F17" i="9" s="1"/>
  <c r="E18" i="38"/>
  <c r="F18" i="38" s="1"/>
  <c r="E17" i="38"/>
  <c r="F17" i="38" s="1"/>
  <c r="E21" i="38"/>
  <c r="F21" i="38" s="1"/>
  <c r="E20" i="39"/>
  <c r="F20" i="39" s="1"/>
  <c r="E20" i="38"/>
  <c r="F20" i="38" s="1"/>
  <c r="E20" i="9"/>
  <c r="F20" i="9" s="1"/>
  <c r="E16" i="39"/>
  <c r="F16" i="39" s="1"/>
  <c r="E18" i="40"/>
  <c r="F18" i="40" s="1"/>
  <c r="E20" i="40"/>
  <c r="F20" i="40" s="1"/>
  <c r="E19" i="38"/>
  <c r="F19" i="38" s="1"/>
  <c r="E11" i="45"/>
  <c r="F11" i="45" s="1"/>
  <c r="G12" i="45" s="1"/>
  <c r="E19" i="9"/>
  <c r="F19" i="9" s="1"/>
  <c r="E16" i="40"/>
  <c r="F16" i="40" s="1"/>
  <c r="E11" i="44"/>
  <c r="F11" i="44" s="1"/>
  <c r="G12" i="44" s="1"/>
  <c r="G18" i="44" s="1"/>
  <c r="G37" i="17" s="1"/>
  <c r="B12" i="4"/>
  <c r="B16" i="39"/>
  <c r="B16" i="38"/>
  <c r="B16" i="9"/>
  <c r="B16" i="40"/>
  <c r="B20" i="40"/>
  <c r="B19" i="9"/>
  <c r="B15" i="48"/>
  <c r="C11" i="46"/>
  <c r="C11" i="47"/>
  <c r="C11" i="45"/>
  <c r="C11" i="43"/>
  <c r="C11" i="42"/>
  <c r="C11" i="44"/>
  <c r="B11" i="41"/>
  <c r="B11" i="45"/>
  <c r="B11" i="43"/>
  <c r="B11" i="44"/>
  <c r="B11" i="42"/>
  <c r="C11" i="41"/>
  <c r="C18" i="9"/>
  <c r="C18" i="40"/>
  <c r="C18" i="39"/>
  <c r="C18" i="38"/>
  <c r="C21" i="40"/>
  <c r="C21" i="38"/>
  <c r="C21" i="39"/>
  <c r="C16" i="9"/>
  <c r="C16" i="40"/>
  <c r="C16" i="39"/>
  <c r="C16" i="38"/>
  <c r="C17" i="40"/>
  <c r="C17" i="9"/>
  <c r="C17" i="39"/>
  <c r="C17" i="38"/>
  <c r="C20" i="9"/>
  <c r="C20" i="38"/>
  <c r="C20" i="40"/>
  <c r="C20" i="39"/>
  <c r="C19" i="39"/>
  <c r="C19" i="38"/>
  <c r="C19" i="40"/>
  <c r="C19" i="9"/>
  <c r="F17" i="30"/>
  <c r="G18" i="30" s="1"/>
  <c r="F17" i="31"/>
  <c r="G18" i="31" s="1"/>
  <c r="B16" i="36"/>
  <c r="E13" i="35"/>
  <c r="F13" i="35" s="1"/>
  <c r="E14" i="35"/>
  <c r="F14" i="35" s="1"/>
  <c r="E20" i="36"/>
  <c r="F20" i="36" s="1"/>
  <c r="E17" i="36"/>
  <c r="F17" i="36" s="1"/>
  <c r="E16" i="37"/>
  <c r="F16" i="37" s="1"/>
  <c r="E21" i="37"/>
  <c r="F21" i="37" s="1"/>
  <c r="E17" i="37"/>
  <c r="F17" i="37" s="1"/>
  <c r="E18" i="36"/>
  <c r="F18" i="36" s="1"/>
  <c r="E19" i="37"/>
  <c r="F19" i="37" s="1"/>
  <c r="E20" i="37"/>
  <c r="F20" i="37" s="1"/>
  <c r="E21" i="36"/>
  <c r="F21" i="36" s="1"/>
  <c r="E16" i="36"/>
  <c r="F16" i="36" s="1"/>
  <c r="E19" i="36"/>
  <c r="F19" i="36" s="1"/>
  <c r="E18" i="37"/>
  <c r="F18" i="37" s="1"/>
  <c r="B13" i="35"/>
  <c r="B19" i="36"/>
  <c r="B19" i="37"/>
  <c r="B18" i="37"/>
  <c r="B18" i="36"/>
  <c r="B17" i="24"/>
  <c r="B17" i="37"/>
  <c r="B17" i="36"/>
  <c r="B14" i="35"/>
  <c r="C20" i="36"/>
  <c r="C20" i="37"/>
  <c r="B20" i="36"/>
  <c r="B20" i="37"/>
  <c r="C17" i="36"/>
  <c r="C17" i="37"/>
  <c r="C17" i="24"/>
  <c r="C18" i="36"/>
  <c r="C18" i="37"/>
  <c r="C19" i="37"/>
  <c r="C19" i="36"/>
  <c r="B21" i="37"/>
  <c r="B21" i="36"/>
  <c r="C16" i="37"/>
  <c r="C16" i="36"/>
  <c r="C16" i="24"/>
  <c r="C21" i="37"/>
  <c r="C21" i="36"/>
  <c r="E11" i="32"/>
  <c r="F11" i="32" s="1"/>
  <c r="G12" i="32" s="1"/>
  <c r="E11" i="34"/>
  <c r="F11" i="34" s="1"/>
  <c r="G12" i="34" s="1"/>
  <c r="G22" i="34" s="1"/>
  <c r="G25" i="17" s="1"/>
  <c r="E15" i="35"/>
  <c r="F15" i="35" s="1"/>
  <c r="C15" i="35"/>
  <c r="B15" i="35"/>
  <c r="B11" i="34"/>
  <c r="B12" i="19"/>
  <c r="C11" i="34"/>
  <c r="C12" i="19"/>
  <c r="E9" i="8"/>
  <c r="F9" i="8" s="1"/>
  <c r="E10" i="21"/>
  <c r="F10" i="21" s="1"/>
  <c r="G11" i="21" s="1"/>
  <c r="G21" i="21" s="1"/>
  <c r="G17" i="17" s="1"/>
  <c r="B11" i="20"/>
  <c r="E11" i="20"/>
  <c r="F11" i="20" s="1"/>
  <c r="G12" i="20" s="1"/>
  <c r="G22" i="20" s="1"/>
  <c r="G14" i="17" s="1"/>
  <c r="E11" i="23"/>
  <c r="F11" i="23" s="1"/>
  <c r="G12" i="23" s="1"/>
  <c r="G22" i="23" s="1"/>
  <c r="G15" i="17" s="1"/>
  <c r="B10" i="21"/>
  <c r="B11" i="23"/>
  <c r="G9" i="26"/>
  <c r="C10" i="21"/>
  <c r="C11" i="20"/>
  <c r="C11" i="23"/>
  <c r="G9" i="25"/>
  <c r="F17" i="25" s="1"/>
  <c r="G18" i="25" s="1"/>
  <c r="G20" i="25" s="1"/>
  <c r="G18" i="17" s="1"/>
  <c r="G8" i="32"/>
  <c r="G9" i="28"/>
  <c r="F17" i="28" s="1"/>
  <c r="G18" i="28" s="1"/>
  <c r="G20" i="28" s="1"/>
  <c r="G20" i="17" s="1"/>
  <c r="G9" i="27"/>
  <c r="F17" i="27" s="1"/>
  <c r="G18" i="27" s="1"/>
  <c r="E11" i="22"/>
  <c r="F11" i="22" s="1"/>
  <c r="G12" i="22" s="1"/>
  <c r="G22" i="22" s="1"/>
  <c r="G16" i="17" s="1"/>
  <c r="E8" i="4"/>
  <c r="F8" i="4" s="1"/>
  <c r="C12" i="26"/>
  <c r="B12" i="26"/>
  <c r="B13" i="26"/>
  <c r="C13" i="26"/>
  <c r="B21" i="24"/>
  <c r="B16" i="8"/>
  <c r="C16" i="8"/>
  <c r="C13" i="25"/>
  <c r="C13" i="27"/>
  <c r="C13" i="31"/>
  <c r="C13" i="30"/>
  <c r="C13" i="29"/>
  <c r="C11" i="18"/>
  <c r="E11" i="18"/>
  <c r="F11" i="18" s="1"/>
  <c r="G12" i="18" s="1"/>
  <c r="G22" i="18" s="1"/>
  <c r="G9" i="17" s="1"/>
  <c r="B13" i="28"/>
  <c r="B11" i="18"/>
  <c r="B13" i="31"/>
  <c r="B13" i="30"/>
  <c r="B13" i="25"/>
  <c r="B13" i="27"/>
  <c r="B13" i="29"/>
  <c r="E21" i="9"/>
  <c r="F21" i="9" s="1"/>
  <c r="C21" i="24"/>
  <c r="C13" i="28"/>
  <c r="G13" i="24"/>
  <c r="B15" i="8"/>
  <c r="C19" i="24"/>
  <c r="C12" i="28"/>
  <c r="C20" i="24"/>
  <c r="C12" i="25"/>
  <c r="C12" i="27"/>
  <c r="E7" i="8"/>
  <c r="F7" i="8" s="1"/>
  <c r="E7" i="31"/>
  <c r="F7" i="31" s="1"/>
  <c r="E7" i="30"/>
  <c r="F7" i="30" s="1"/>
  <c r="E7" i="29"/>
  <c r="F7" i="29" s="1"/>
  <c r="C11" i="32"/>
  <c r="C18" i="24"/>
  <c r="B12" i="28"/>
  <c r="B12" i="25"/>
  <c r="B20" i="24"/>
  <c r="B12" i="27"/>
  <c r="C13" i="19"/>
  <c r="C11" i="22"/>
  <c r="B19" i="24"/>
  <c r="B11" i="22"/>
  <c r="B13" i="19"/>
  <c r="B11" i="32"/>
  <c r="B18" i="24"/>
  <c r="E8" i="6"/>
  <c r="F8" i="6" s="1"/>
  <c r="E8" i="8"/>
  <c r="F8" i="8" s="1"/>
  <c r="E9" i="6"/>
  <c r="F9" i="6" s="1"/>
  <c r="E8" i="9"/>
  <c r="F8" i="9" s="1"/>
  <c r="E7" i="6"/>
  <c r="F7" i="6" s="1"/>
  <c r="B16" i="6"/>
  <c r="B21" i="9"/>
  <c r="C16" i="6"/>
  <c r="C21" i="9"/>
  <c r="C15" i="6"/>
  <c r="C15" i="8"/>
  <c r="B15" i="6"/>
  <c r="C13" i="4"/>
  <c r="B13" i="4"/>
  <c r="I5" i="7"/>
  <c r="J5" i="7" s="1"/>
  <c r="B5" i="7"/>
  <c r="B14" i="48" s="1"/>
  <c r="D5" i="7"/>
  <c r="C5" i="7"/>
  <c r="C14" i="48" s="1"/>
  <c r="G14" i="27" l="1"/>
  <c r="G20" i="27" s="1"/>
  <c r="G19" i="17" s="1"/>
  <c r="G14" i="26"/>
  <c r="G14" i="31"/>
  <c r="G20" i="31" s="1"/>
  <c r="G23" i="17" s="1"/>
  <c r="G14" i="4"/>
  <c r="G22" i="24"/>
  <c r="G33" i="24" s="1"/>
  <c r="G26" i="17" s="1"/>
  <c r="G14" i="30"/>
  <c r="G20" i="30" s="1"/>
  <c r="G22" i="17" s="1"/>
  <c r="G14" i="29"/>
  <c r="G20" i="29" s="1"/>
  <c r="G21" i="17" s="1"/>
  <c r="G17" i="48"/>
  <c r="G24" i="48" s="1"/>
  <c r="G28" i="5" s="1"/>
  <c r="H28" i="5" s="1"/>
  <c r="E7" i="35" s="1"/>
  <c r="F7" i="35" s="1"/>
  <c r="G10" i="35" s="1"/>
  <c r="G14" i="19"/>
  <c r="G22" i="39"/>
  <c r="G22" i="38"/>
  <c r="G22" i="32"/>
  <c r="G24" i="17" s="1"/>
  <c r="G22" i="40"/>
  <c r="G18" i="45"/>
  <c r="G38" i="17" s="1"/>
  <c r="F10" i="51"/>
  <c r="F44" i="51" s="1"/>
  <c r="J14" i="51" s="1"/>
  <c r="G16" i="35"/>
  <c r="G22" i="9"/>
  <c r="G22" i="53"/>
  <c r="G18" i="47"/>
  <c r="G40" i="17" s="1"/>
  <c r="G22" i="37"/>
  <c r="G22" i="36"/>
  <c r="G33" i="36" s="1"/>
  <c r="G27" i="17" s="1"/>
  <c r="G18" i="46"/>
  <c r="G39" i="17" s="1"/>
  <c r="G17" i="8"/>
  <c r="G17" i="6"/>
  <c r="F17" i="26"/>
  <c r="G18" i="26" s="1"/>
  <c r="G21" i="26" s="1"/>
  <c r="G11" i="17" s="1"/>
  <c r="G10" i="8"/>
  <c r="C12" i="29"/>
  <c r="C12" i="30"/>
  <c r="C12" i="31"/>
  <c r="B12" i="31"/>
  <c r="B12" i="29"/>
  <c r="B12" i="30"/>
  <c r="G10" i="6"/>
  <c r="F21" i="6" s="1"/>
  <c r="G22" i="6" s="1"/>
  <c r="C14" i="6"/>
  <c r="C14" i="8"/>
  <c r="B14" i="6"/>
  <c r="B14" i="8"/>
  <c r="G27" i="35" l="1"/>
  <c r="G24" i="6"/>
  <c r="F21" i="8"/>
  <c r="G22" i="8" s="1"/>
  <c r="G24" i="8" s="1"/>
  <c r="G27" i="5" l="1"/>
  <c r="H27" i="5" s="1"/>
  <c r="G26" i="5"/>
  <c r="H26" i="5" s="1"/>
  <c r="E7" i="53" l="1"/>
  <c r="F7" i="53" s="1"/>
  <c r="G13" i="53" s="1"/>
  <c r="F25" i="53" s="1"/>
  <c r="G26" i="53" s="1"/>
  <c r="G28" i="53" s="1"/>
  <c r="G29" i="17" s="1"/>
  <c r="E7" i="9"/>
  <c r="F7" i="9" s="1"/>
  <c r="G13" i="9" s="1"/>
  <c r="F25" i="9" s="1"/>
  <c r="G26" i="9" s="1"/>
  <c r="G28" i="9" s="1"/>
  <c r="G31" i="17" s="1"/>
  <c r="E7" i="40"/>
  <c r="F7" i="40" s="1"/>
  <c r="G13" i="40" s="1"/>
  <c r="F25" i="40" s="1"/>
  <c r="G26" i="40" s="1"/>
  <c r="G28" i="40" s="1"/>
  <c r="G33" i="17" s="1"/>
  <c r="E7" i="38"/>
  <c r="F7" i="38" s="1"/>
  <c r="G13" i="38" s="1"/>
  <c r="F25" i="38" s="1"/>
  <c r="G26" i="38" s="1"/>
  <c r="G28" i="38" s="1"/>
  <c r="G30" i="17" s="1"/>
  <c r="E7" i="39"/>
  <c r="F7" i="39" s="1"/>
  <c r="G13" i="39" s="1"/>
  <c r="F25" i="39" s="1"/>
  <c r="G26" i="39" s="1"/>
  <c r="G28" i="39" s="1"/>
  <c r="G32" i="17" s="1"/>
  <c r="E7" i="4"/>
  <c r="F7" i="4" s="1"/>
  <c r="G9" i="4" s="1"/>
  <c r="F17" i="4" s="1"/>
  <c r="G18" i="4" s="1"/>
  <c r="G20" i="4" s="1"/>
  <c r="G12" i="17" s="1"/>
  <c r="E7" i="19"/>
  <c r="F7" i="19" s="1"/>
  <c r="G9" i="19" s="1"/>
  <c r="F17" i="19" s="1"/>
  <c r="G18" i="19" s="1"/>
  <c r="G20" i="19" s="1"/>
  <c r="G13" i="17" s="1"/>
  <c r="F11" i="37"/>
  <c r="F7" i="37"/>
  <c r="F8" i="37"/>
  <c r="F9" i="37"/>
  <c r="F10" i="37"/>
  <c r="F12" i="37"/>
  <c r="G13" i="37" l="1"/>
  <c r="G33" i="37" s="1"/>
  <c r="G28" i="17" s="1"/>
  <c r="J15" i="51"/>
  <c r="J17" i="51" l="1"/>
  <c r="J16" i="51"/>
  <c r="J18" i="51" s="1"/>
  <c r="J19" i="51" l="1"/>
  <c r="J20" i="51" s="1"/>
  <c r="J21" i="51" l="1"/>
  <c r="J24" i="51" s="1"/>
</calcChain>
</file>

<file path=xl/sharedStrings.xml><?xml version="1.0" encoding="utf-8"?>
<sst xmlns="http://schemas.openxmlformats.org/spreadsheetml/2006/main" count="1678" uniqueCount="278">
  <si>
    <t>Unidad</t>
  </si>
  <si>
    <t>3.1</t>
  </si>
  <si>
    <t>Ha</t>
  </si>
  <si>
    <t>3.2</t>
  </si>
  <si>
    <t>m3</t>
  </si>
  <si>
    <t>3.3</t>
  </si>
  <si>
    <t>Terraplén con compactación especial (con aporte de suelo)</t>
  </si>
  <si>
    <t>m2</t>
  </si>
  <si>
    <t>tn</t>
  </si>
  <si>
    <t>ml</t>
  </si>
  <si>
    <t>1.1</t>
  </si>
  <si>
    <t>1.2</t>
  </si>
  <si>
    <t>1.3</t>
  </si>
  <si>
    <t>1.4</t>
  </si>
  <si>
    <t>1.5</t>
  </si>
  <si>
    <t>1.6</t>
  </si>
  <si>
    <t>1.7</t>
  </si>
  <si>
    <t>2.2</t>
  </si>
  <si>
    <t>2.1</t>
  </si>
  <si>
    <t>2.3</t>
  </si>
  <si>
    <t>2.4</t>
  </si>
  <si>
    <t>2.5</t>
  </si>
  <si>
    <t>2.6</t>
  </si>
  <si>
    <t>2.7</t>
  </si>
  <si>
    <t>2.8</t>
  </si>
  <si>
    <t>2.9</t>
  </si>
  <si>
    <t>2.10</t>
  </si>
  <si>
    <t>ANALISIS DE PRECIOS</t>
  </si>
  <si>
    <t>DENOMINACIÓN:</t>
  </si>
  <si>
    <t>Base de hormigón pobre H-13 en 0,15 m de espesor.</t>
  </si>
  <si>
    <t>UNIDAD</t>
  </si>
  <si>
    <t>RENDIMIENTO</t>
  </si>
  <si>
    <t>m2/día</t>
  </si>
  <si>
    <t>CUANTIA</t>
  </si>
  <si>
    <t>PRECIO</t>
  </si>
  <si>
    <t>COSTO TOTAL</t>
  </si>
  <si>
    <t>TOTAL MATERIALES</t>
  </si>
  <si>
    <t>$/m2</t>
  </si>
  <si>
    <t>TRANSPORTE</t>
  </si>
  <si>
    <t>EQUIPO</t>
  </si>
  <si>
    <t>MANO DE OBRA</t>
  </si>
  <si>
    <t>TOTAL MANO DE OBRA</t>
  </si>
  <si>
    <t>ESPESOR:</t>
  </si>
  <si>
    <t>m</t>
  </si>
  <si>
    <t>PLANILLA I - MATERIALES</t>
  </si>
  <si>
    <t>Material</t>
  </si>
  <si>
    <t>Procedencia</t>
  </si>
  <si>
    <t>Costo Unitario</t>
  </si>
  <si>
    <t>Porcentaje de Pérdidas</t>
  </si>
  <si>
    <t>Costo Unitario de las Pérdidas</t>
  </si>
  <si>
    <t>Costo Unitario con Pérdidas</t>
  </si>
  <si>
    <t>sin Pérdidas</t>
  </si>
  <si>
    <t>Id.</t>
  </si>
  <si>
    <t>Designación</t>
  </si>
  <si>
    <t>[$]</t>
  </si>
  <si>
    <t>[%]</t>
  </si>
  <si>
    <t>Cemento Portland a granel</t>
  </si>
  <si>
    <t>Olavarría</t>
  </si>
  <si>
    <t>Piedra Triturada 10/30</t>
  </si>
  <si>
    <t>Tandil</t>
  </si>
  <si>
    <t>Arena Silicea</t>
  </si>
  <si>
    <t>Film de polietileno 200mic (rollo de 50x2m)</t>
  </si>
  <si>
    <t>MATERIALES</t>
  </si>
  <si>
    <t>ID</t>
  </si>
  <si>
    <t>TOTAL TRANSPORTE</t>
  </si>
  <si>
    <t>TOTAL EQUIPO</t>
  </si>
  <si>
    <t>COSTO-COSTO [$/M2]</t>
  </si>
  <si>
    <t>ANÁLISIS AUXILIAR Nº</t>
  </si>
  <si>
    <t>ELABORACIÓN Y TRANSPORTE DE HORMIGÓN H-13</t>
  </si>
  <si>
    <t>m3/día</t>
  </si>
  <si>
    <t>PUV</t>
  </si>
  <si>
    <t>tn/m3</t>
  </si>
  <si>
    <t>$/m3</t>
  </si>
  <si>
    <t>m3 (tn)</t>
  </si>
  <si>
    <t>PLANTA  DOSIFICADORA DE HORMIGÓN</t>
  </si>
  <si>
    <t>OF  ESP+ AYUDANTE</t>
  </si>
  <si>
    <t>GRUPO ELECTROGENO XXX HP</t>
  </si>
  <si>
    <t>RETRO-PALA XX HP</t>
  </si>
  <si>
    <t>OF ESP +AYUDANTE</t>
  </si>
  <si>
    <t>CAMION  MOTOHORMIGONERO</t>
  </si>
  <si>
    <t>OF. ESP</t>
  </si>
  <si>
    <t>COSTO-COSTO [$/M3]</t>
  </si>
  <si>
    <t>Distancia</t>
  </si>
  <si>
    <t>Tarifa</t>
  </si>
  <si>
    <t>Costo Unitario sin Pérdidas</t>
  </si>
  <si>
    <t>[km]</t>
  </si>
  <si>
    <t>[$/Un x km]</t>
  </si>
  <si>
    <t>[$/un]</t>
  </si>
  <si>
    <t>[$/Un]</t>
  </si>
  <si>
    <t>PLANILLA II - TRANSPORTE</t>
  </si>
  <si>
    <t>ELABORACIÓN Y TRANSPORTE DE HORMIGÓN H-30</t>
  </si>
  <si>
    <t>Calzada de hormigón H-30 en 0,15 m de espesor.</t>
  </si>
  <si>
    <t>Hº ELABORADO H-13</t>
  </si>
  <si>
    <t>Hº ELABORADO H-30</t>
  </si>
  <si>
    <t>Arena fina</t>
  </si>
  <si>
    <t>Liq. Curado base solvente</t>
  </si>
  <si>
    <t>Barra Nervada de 10 mm</t>
  </si>
  <si>
    <t>Barra redonda lisa 20 mm</t>
  </si>
  <si>
    <t>Barra Nervada 6 mm</t>
  </si>
  <si>
    <t>h</t>
  </si>
  <si>
    <t>Piedra Partida 0-6 mm</t>
  </si>
  <si>
    <t>Piedra Partida 6-20 mm</t>
  </si>
  <si>
    <t>Cemento Asfáltico CA30</t>
  </si>
  <si>
    <t>Carpeta de concreto asfaltico 0,06 m de espesor.</t>
  </si>
  <si>
    <t>lt</t>
  </si>
  <si>
    <t>Emulsión asfáltica p/imprimación</t>
  </si>
  <si>
    <t>Precio total</t>
  </si>
  <si>
    <t>Cantidad</t>
  </si>
  <si>
    <t>Rubro</t>
  </si>
  <si>
    <t>Tarea</t>
  </si>
  <si>
    <t>Movimiento de suelo</t>
  </si>
  <si>
    <t>Suelo seleccionado</t>
  </si>
  <si>
    <t>ITEM Nº:</t>
  </si>
  <si>
    <t>Total</t>
  </si>
  <si>
    <t>Base o sub-base</t>
  </si>
  <si>
    <t>Pavimento flexible</t>
  </si>
  <si>
    <t>Pavimento rígido</t>
  </si>
  <si>
    <t>4.1</t>
  </si>
  <si>
    <t>4.2</t>
  </si>
  <si>
    <t>4.3</t>
  </si>
  <si>
    <t>Mejorado</t>
  </si>
  <si>
    <t>5.1</t>
  </si>
  <si>
    <t>5.2</t>
  </si>
  <si>
    <t>Varios</t>
  </si>
  <si>
    <t>6.1</t>
  </si>
  <si>
    <t>Base de hormigón pobre H-13 de 0,15 m de espesor</t>
  </si>
  <si>
    <t>Base de hormigón pobre H-13 en 0,18 m de espesor.</t>
  </si>
  <si>
    <t>Base de hormigón pobre H-13 de 0,18 m de espesor</t>
  </si>
  <si>
    <t>Carpeta de concreto asfaltico de espesor 5 cm</t>
  </si>
  <si>
    <t>Carpeta de concreto asfaltico de espesor 6 cm</t>
  </si>
  <si>
    <t>Carpeta de concreto asfaltico de espesor 7 cm</t>
  </si>
  <si>
    <t>Carpeta de concreto asfaltico 0,05 m de espesor</t>
  </si>
  <si>
    <t>4.4</t>
  </si>
  <si>
    <t xml:space="preserve">Base o Sub-base suelo cemento de 10 cm de espesor </t>
  </si>
  <si>
    <t xml:space="preserve">Base o Sub-base suelo cemento de 15 cm de espesor </t>
  </si>
  <si>
    <t xml:space="preserve">Base o Sub-base suelo cemento de 20 cm de espesor </t>
  </si>
  <si>
    <t>2.11</t>
  </si>
  <si>
    <t>2.12</t>
  </si>
  <si>
    <t>Espesor:</t>
  </si>
  <si>
    <t>2.13</t>
  </si>
  <si>
    <t xml:space="preserve">Base o sub-base suelo cemento de 10 cm de espesor </t>
  </si>
  <si>
    <t xml:space="preserve">Base o sub-base suelo cemento de 20 cm de espesor </t>
  </si>
  <si>
    <t xml:space="preserve">Base o sub-base suelo cemento de 15 cm de espesor </t>
  </si>
  <si>
    <t>Cal hidraulica hidratada, 65% CUV</t>
  </si>
  <si>
    <t>Asfalto AM3</t>
  </si>
  <si>
    <t>Gasoil</t>
  </si>
  <si>
    <t>Mejorado calcáreo de espesor 5 cm</t>
  </si>
  <si>
    <t>5.3</t>
  </si>
  <si>
    <t>5.4</t>
  </si>
  <si>
    <t>5.5</t>
  </si>
  <si>
    <t>Mejorado calcáreo de espesor 10 cm</t>
  </si>
  <si>
    <t>Mejorado calcáreo de espesor 15 cm</t>
  </si>
  <si>
    <t>Mejorado calcáreo de espesor 20 cm</t>
  </si>
  <si>
    <t>5.6</t>
  </si>
  <si>
    <t>5.7</t>
  </si>
  <si>
    <t>kg/m3</t>
  </si>
  <si>
    <t>Densidad tosca</t>
  </si>
  <si>
    <t>2.14</t>
  </si>
  <si>
    <t xml:space="preserve">Base estabilizado granular de 15 de espesor </t>
  </si>
  <si>
    <t xml:space="preserve">Base estabilizado granular de 20 de espesor </t>
  </si>
  <si>
    <t>Limpieza del terreno (no incluye retiro de árboles)</t>
  </si>
  <si>
    <t>Excavación y retiro de capa humífera</t>
  </si>
  <si>
    <r>
      <t>Excavación para desag</t>
    </r>
    <r>
      <rPr>
        <sz val="10"/>
        <rFont val="Calibri"/>
        <family val="2"/>
      </rPr>
      <t>ü</t>
    </r>
    <r>
      <rPr>
        <sz val="10"/>
        <rFont val="Arial"/>
        <family val="2"/>
      </rPr>
      <t>e longitudinal</t>
    </r>
  </si>
  <si>
    <t xml:space="preserve">      </t>
  </si>
  <si>
    <t>Cantera</t>
  </si>
  <si>
    <t>P. U. (nov-2023)</t>
  </si>
  <si>
    <t>Perfilado y recompactación de la subrasante de 15 cm de espesor</t>
  </si>
  <si>
    <t>kg/m2</t>
  </si>
  <si>
    <t>tn/m2</t>
  </si>
  <si>
    <t>Mejoramiento de la subrasante  con cal (2%) de 15 cm espesor</t>
  </si>
  <si>
    <t>Mejoramiento de la subrasante con cal (2%) de 15 cm espesor</t>
  </si>
  <si>
    <t>EQUIPO y MANO OBRA</t>
  </si>
  <si>
    <t>40% de los materiales</t>
  </si>
  <si>
    <t>TOTAL MO Y EQUIPO</t>
  </si>
  <si>
    <t>Mejorado piedra partida 10/30 de espesor 10 cm</t>
  </si>
  <si>
    <t>Mejorado piedra partida 10/30  de espesor 20 cm</t>
  </si>
  <si>
    <t>Mejorado piedra partida 10/30 de espesor 30 cm</t>
  </si>
  <si>
    <t>MANO OBRA Y EQUIPO</t>
  </si>
  <si>
    <t>40% material</t>
  </si>
  <si>
    <t>Sub-base suelo seleccionado de 20 cm de espesor.</t>
  </si>
  <si>
    <t>Sub-base suelo seleccionado de 30 cm de espesor.</t>
  </si>
  <si>
    <t>Sub-base suelo seleccionado de 15 cm de espesor.</t>
  </si>
  <si>
    <t>Sub-base suelo seleccionado de 13 cm de espesor.</t>
  </si>
  <si>
    <t>Suelo seleccionado (para terraplén)</t>
  </si>
  <si>
    <t>MANO OBRA</t>
  </si>
  <si>
    <t>EQUIPO Y MO</t>
  </si>
  <si>
    <t xml:space="preserve">Base estabilizado granular de 15 cm de espesor </t>
  </si>
  <si>
    <t>densidad tn/m3</t>
  </si>
  <si>
    <t xml:space="preserve">Sub-base suelo seleccionado cal útil 5% de 10 cm de espesor </t>
  </si>
  <si>
    <t xml:space="preserve">Sub-base suelo seleccionado cal útil 5% de 15 cm de espesor </t>
  </si>
  <si>
    <t xml:space="preserve">Sub-base suelo seleccionado cal útil 5% de 20 cm de espesor </t>
  </si>
  <si>
    <t>Mezcla estabilizado granular</t>
  </si>
  <si>
    <t>TOTAL MO</t>
  </si>
  <si>
    <t>TOTAL EQUIPO Y MO</t>
  </si>
  <si>
    <t>Cordón cuneta de Hº A (H-17)</t>
  </si>
  <si>
    <t>Cordón cuneta de Hº Aº (H17, no incluye paquete estructural base)</t>
  </si>
  <si>
    <t>$/ml</t>
  </si>
  <si>
    <t>Hº ELABORADO H-17</t>
  </si>
  <si>
    <t>Emulsión asfáltica p/riego de liga</t>
  </si>
  <si>
    <t>Fuel Oil</t>
  </si>
  <si>
    <t>Carpeta de concreto asfaltico 0,07 m de espesor.</t>
  </si>
  <si>
    <t>Calzada de hormigón H-30 en 0,13 m de espesor.</t>
  </si>
  <si>
    <t>Calzada de hormigón H-30 en 0,18 m de espesor.</t>
  </si>
  <si>
    <t>Calzada de hormigón H-30 en 0,20 m de espesor.</t>
  </si>
  <si>
    <t>Ripio calcáreo 0-20 mm</t>
  </si>
  <si>
    <t>Mejorado piedra partida 10/30 de espesor 20 cm</t>
  </si>
  <si>
    <t>Completar</t>
  </si>
  <si>
    <t>Costo-Costo</t>
  </si>
  <si>
    <t>Gastos generales</t>
  </si>
  <si>
    <t>15% C-C</t>
  </si>
  <si>
    <t>Gasto financiero</t>
  </si>
  <si>
    <t>2% COSTO</t>
  </si>
  <si>
    <t>Costo</t>
  </si>
  <si>
    <t>COSTO-COSTO + GASTOS G.</t>
  </si>
  <si>
    <t>Beneficio</t>
  </si>
  <si>
    <t>10% COSTO</t>
  </si>
  <si>
    <t>Precio sin impuestos</t>
  </si>
  <si>
    <t>costo + gasto. F. + beneficio</t>
  </si>
  <si>
    <t>Gasto impositivo</t>
  </si>
  <si>
    <t>24,5% psi</t>
  </si>
  <si>
    <t>VALOR EN JUEGO</t>
  </si>
  <si>
    <t>Gasto I. + PSI.</t>
  </si>
  <si>
    <t>TOTAL</t>
  </si>
  <si>
    <t>MOVIMIENTO_DE_SUELO</t>
  </si>
  <si>
    <t>RUBRO</t>
  </si>
  <si>
    <t>BASE_O_SUB_BASE</t>
  </si>
  <si>
    <t>PAVIMENTO_FLEXIBLE</t>
  </si>
  <si>
    <t>PAVIMENTO_RÍGIDO</t>
  </si>
  <si>
    <t>MEJORADO</t>
  </si>
  <si>
    <t>VARIOS</t>
  </si>
  <si>
    <t>Seleccionar_rubro</t>
  </si>
  <si>
    <t>Seleccionar_tarea</t>
  </si>
  <si>
    <t>4.5</t>
  </si>
  <si>
    <t>Calzada de hormigón H-30 en 0,1 m de espesor.</t>
  </si>
  <si>
    <t xml:space="preserve">Sub-base suelo cal útil 5% de 20 cm de espesor </t>
  </si>
  <si>
    <t xml:space="preserve">Sub-base suelo cal útil 5% de 15 cm de espesor </t>
  </si>
  <si>
    <t xml:space="preserve">Sub-base suelo cal útil 5% de 10 cm de espesor </t>
  </si>
  <si>
    <t>Desbosque, destronque y limpieza del terreno</t>
  </si>
  <si>
    <t>Ítem</t>
  </si>
  <si>
    <t>1)</t>
  </si>
  <si>
    <t>2)</t>
  </si>
  <si>
    <t>3)</t>
  </si>
  <si>
    <t>4)</t>
  </si>
  <si>
    <t>5)</t>
  </si>
  <si>
    <t>En la tabla a la derecha aparecerá el valor en juego a ingresar a la hora de presentar honorarios</t>
  </si>
  <si>
    <t>Precio actualizado</t>
  </si>
  <si>
    <t>Actualización</t>
  </si>
  <si>
    <t>Coeficiente del Colegio</t>
  </si>
  <si>
    <t>Precio unitario</t>
  </si>
  <si>
    <t>Calzada Hº H-30 de espesor 15 cm</t>
  </si>
  <si>
    <t>Calzada Hº H-30 de espesor 20 cm</t>
  </si>
  <si>
    <t>Calzada Hº H-30 de espesor 18 cm</t>
  </si>
  <si>
    <t>Calzada Hº H-30 de espesor 10 cm</t>
  </si>
  <si>
    <t>Calzada Hº H-30 de espesor 13 cm</t>
  </si>
  <si>
    <t>GBA</t>
  </si>
  <si>
    <t>Seleccionar en la “Rubro” el rubro buscado en la lista desplegable</t>
  </si>
  <si>
    <t>Seleccionar en la columna “Tarea” la tarea buscada en la lista desplegable</t>
  </si>
  <si>
    <t>En la columna “Cantidad” ingresar el valor del cómputo</t>
  </si>
  <si>
    <t>Repetir para todos los elementos de la obra en las filas debajo</t>
  </si>
  <si>
    <t>Excavación en caja</t>
  </si>
  <si>
    <t>Columna1</t>
  </si>
  <si>
    <t>6.2</t>
  </si>
  <si>
    <t>6.3</t>
  </si>
  <si>
    <t>Cordón integral</t>
  </si>
  <si>
    <t>6.4</t>
  </si>
  <si>
    <t>Cordón para protección final de pavimento</t>
  </si>
  <si>
    <t>6.5</t>
  </si>
  <si>
    <t>6.6</t>
  </si>
  <si>
    <t>6.7</t>
  </si>
  <si>
    <t>6.8</t>
  </si>
  <si>
    <t>6.9</t>
  </si>
  <si>
    <t>6.10</t>
  </si>
  <si>
    <t>6.11</t>
  </si>
  <si>
    <t>Señalización horizontal termoplástica</t>
  </si>
  <si>
    <t xml:space="preserve">Señalización vertical </t>
  </si>
  <si>
    <t>ÍTEMS ADICIONALES</t>
  </si>
  <si>
    <t>CANTIDAD</t>
  </si>
  <si>
    <t>PRECIO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</si>
</sst>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\ #,##0;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 &quot;$&quot;\ * #,##0.00_ ;_ &quot;$&quot;\ * \-#,##0.00_ ;_ &quot;$&quot;\ * &quot;-&quot;??_ ;_ @_ "/>
    <numFmt numFmtId="166" formatCode="0.000"/>
    <numFmt numFmtId="167" formatCode="&quot;$&quot;\ #,##0.00"/>
    <numFmt numFmtId="168" formatCode="0.0000"/>
    <numFmt numFmtId="169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2"/>
      <name val="Courier"/>
    </font>
    <font>
      <sz val="10"/>
      <name val="Calibri"/>
      <family val="2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</font>
    <font>
      <b/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/>
      <right/>
      <top style="medium">
        <color rgb="FFCCCCCC"/>
      </top>
      <bottom style="medium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2" fillId="0" borderId="0"/>
    <xf numFmtId="44" fontId="2" fillId="0" borderId="0" applyFont="0" applyFill="0" applyBorder="0" applyAlignment="0" applyProtection="0"/>
  </cellStyleXfs>
  <cellXfs count="330">
    <xf numFmtId="0" fontId="0" fillId="0" borderId="0" xfId="0"/>
    <xf numFmtId="0" fontId="5" fillId="4" borderId="1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1" fillId="0" borderId="10" xfId="1" applyFont="1" applyBorder="1" applyAlignment="1">
      <alignment wrapText="1"/>
    </xf>
    <xf numFmtId="0" fontId="1" fillId="0" borderId="11" xfId="1" applyFont="1" applyBorder="1" applyAlignment="1">
      <alignment wrapText="1"/>
    </xf>
    <xf numFmtId="0" fontId="1" fillId="0" borderId="12" xfId="1" applyFont="1" applyBorder="1" applyAlignment="1">
      <alignment wrapText="1"/>
    </xf>
    <xf numFmtId="0" fontId="7" fillId="0" borderId="12" xfId="1" applyFont="1" applyBorder="1" applyAlignment="1">
      <alignment wrapText="1"/>
    </xf>
    <xf numFmtId="0" fontId="2" fillId="0" borderId="0" xfId="1"/>
    <xf numFmtId="0" fontId="1" fillId="0" borderId="9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7" fillId="2" borderId="12" xfId="1" applyFont="1" applyFill="1" applyBorder="1" applyAlignment="1">
      <alignment horizontal="center" wrapText="1"/>
    </xf>
    <xf numFmtId="0" fontId="0" fillId="0" borderId="0" xfId="1" applyFont="1"/>
    <xf numFmtId="0" fontId="2" fillId="0" borderId="13" xfId="1" applyBorder="1" applyAlignment="1">
      <alignment wrapText="1"/>
    </xf>
    <xf numFmtId="0" fontId="2" fillId="0" borderId="12" xfId="1" applyBorder="1" applyAlignment="1">
      <alignment wrapText="1"/>
    </xf>
    <xf numFmtId="0" fontId="1" fillId="0" borderId="14" xfId="1" applyFont="1" applyBorder="1" applyAlignment="1">
      <alignment horizontal="center" wrapText="1"/>
    </xf>
    <xf numFmtId="0" fontId="1" fillId="0" borderId="15" xfId="1" applyFont="1" applyBorder="1" applyAlignment="1">
      <alignment horizontal="center" wrapText="1"/>
    </xf>
    <xf numFmtId="5" fontId="1" fillId="0" borderId="16" xfId="1" applyNumberFormat="1" applyFont="1" applyBorder="1" applyAlignment="1">
      <alignment horizontal="center" vertical="center" wrapText="1"/>
    </xf>
    <xf numFmtId="0" fontId="2" fillId="0" borderId="17" xfId="1" applyBorder="1" applyAlignment="1">
      <alignment wrapText="1"/>
    </xf>
    <xf numFmtId="0" fontId="2" fillId="0" borderId="18" xfId="1" applyBorder="1" applyAlignment="1">
      <alignment wrapText="1"/>
    </xf>
    <xf numFmtId="164" fontId="2" fillId="0" borderId="21" xfId="1" applyNumberFormat="1" applyBorder="1" applyAlignment="1">
      <alignment wrapText="1"/>
    </xf>
    <xf numFmtId="0" fontId="2" fillId="0" borderId="22" xfId="1" applyBorder="1" applyAlignment="1">
      <alignment wrapText="1"/>
    </xf>
    <xf numFmtId="0" fontId="1" fillId="0" borderId="23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25" xfId="1" applyFont="1" applyBorder="1" applyAlignment="1">
      <alignment horizontal="center" vertical="center" wrapText="1"/>
    </xf>
    <xf numFmtId="166" fontId="2" fillId="0" borderId="18" xfId="1" applyNumberFormat="1" applyBorder="1" applyAlignment="1">
      <alignment wrapText="1"/>
    </xf>
    <xf numFmtId="5" fontId="1" fillId="0" borderId="25" xfId="1" applyNumberFormat="1" applyFont="1" applyBorder="1" applyAlignment="1">
      <alignment horizontal="center" vertical="center" wrapText="1"/>
    </xf>
    <xf numFmtId="0" fontId="2" fillId="0" borderId="0" xfId="1" applyAlignment="1">
      <alignment wrapText="1"/>
    </xf>
    <xf numFmtId="0" fontId="2" fillId="0" borderId="28" xfId="1" applyBorder="1" applyAlignment="1">
      <alignment wrapText="1"/>
    </xf>
    <xf numFmtId="0" fontId="1" fillId="0" borderId="0" xfId="1" applyFont="1" applyAlignment="1">
      <alignment horizontal="center" wrapText="1"/>
    </xf>
    <xf numFmtId="8" fontId="2" fillId="0" borderId="0" xfId="1" applyNumberFormat="1" applyAlignment="1">
      <alignment wrapText="1"/>
    </xf>
    <xf numFmtId="0" fontId="1" fillId="0" borderId="14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0" fillId="0" borderId="31" xfId="0" applyBorder="1"/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left" vertical="center" wrapText="1"/>
    </xf>
    <xf numFmtId="9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0" fillId="0" borderId="38" xfId="0" applyBorder="1"/>
    <xf numFmtId="0" fontId="0" fillId="0" borderId="27" xfId="0" applyBorder="1"/>
    <xf numFmtId="0" fontId="1" fillId="0" borderId="27" xfId="0" applyFont="1" applyBorder="1" applyAlignment="1">
      <alignment horizontal="center"/>
    </xf>
    <xf numFmtId="164" fontId="1" fillId="5" borderId="27" xfId="1" applyNumberFormat="1" applyFont="1" applyFill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2" xfId="0" applyBorder="1" applyAlignment="1">
      <alignment wrapText="1"/>
    </xf>
    <xf numFmtId="0" fontId="0" fillId="0" borderId="42" xfId="0" applyBorder="1" applyAlignment="1">
      <alignment horizontal="center" wrapText="1"/>
    </xf>
    <xf numFmtId="166" fontId="0" fillId="0" borderId="43" xfId="0" applyNumberFormat="1" applyBorder="1" applyAlignment="1">
      <alignment horizontal="center" wrapText="1"/>
    </xf>
    <xf numFmtId="4" fontId="0" fillId="0" borderId="43" xfId="0" applyNumberFormat="1" applyBorder="1" applyAlignment="1">
      <alignment horizontal="center" wrapText="1"/>
    </xf>
    <xf numFmtId="40" fontId="0" fillId="0" borderId="44" xfId="0" applyNumberFormat="1" applyBorder="1" applyAlignment="1">
      <alignment horizontal="center" wrapText="1"/>
    </xf>
    <xf numFmtId="43" fontId="0" fillId="0" borderId="0" xfId="0" applyNumberFormat="1"/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43" fontId="0" fillId="0" borderId="27" xfId="0" applyNumberFormat="1" applyBorder="1" applyAlignment="1">
      <alignment wrapText="1"/>
    </xf>
    <xf numFmtId="0" fontId="0" fillId="0" borderId="22" xfId="0" applyBorder="1" applyAlignment="1">
      <alignment wrapText="1"/>
    </xf>
    <xf numFmtId="43" fontId="0" fillId="0" borderId="18" xfId="0" applyNumberFormat="1" applyBorder="1" applyAlignment="1">
      <alignment wrapText="1"/>
    </xf>
    <xf numFmtId="43" fontId="0" fillId="0" borderId="17" xfId="0" applyNumberFormat="1" applyBorder="1" applyAlignment="1">
      <alignment wrapText="1"/>
    </xf>
    <xf numFmtId="166" fontId="0" fillId="0" borderId="18" xfId="0" applyNumberFormat="1" applyBorder="1" applyAlignment="1">
      <alignment wrapText="1"/>
    </xf>
    <xf numFmtId="43" fontId="0" fillId="0" borderId="21" xfId="0" applyNumberFormat="1" applyBorder="1" applyAlignment="1">
      <alignment wrapText="1"/>
    </xf>
    <xf numFmtId="43" fontId="0" fillId="0" borderId="13" xfId="0" applyNumberFormat="1" applyBorder="1" applyAlignment="1">
      <alignment wrapText="1"/>
    </xf>
    <xf numFmtId="0" fontId="3" fillId="0" borderId="0" xfId="0" applyFont="1"/>
    <xf numFmtId="43" fontId="0" fillId="0" borderId="27" xfId="0" applyNumberFormat="1" applyBorder="1" applyAlignment="1">
      <alignment horizontal="center"/>
    </xf>
    <xf numFmtId="0" fontId="11" fillId="0" borderId="0" xfId="0" applyFont="1"/>
    <xf numFmtId="0" fontId="1" fillId="0" borderId="36" xfId="0" applyFont="1" applyBorder="1" applyAlignment="1">
      <alignment horizontal="center"/>
    </xf>
    <xf numFmtId="0" fontId="7" fillId="6" borderId="12" xfId="1" applyFont="1" applyFill="1" applyBorder="1" applyAlignment="1">
      <alignment horizontal="center" wrapText="1"/>
    </xf>
    <xf numFmtId="0" fontId="7" fillId="0" borderId="12" xfId="1" applyFont="1" applyBorder="1" applyAlignment="1">
      <alignment horizontal="center" wrapText="1"/>
    </xf>
    <xf numFmtId="0" fontId="1" fillId="7" borderId="10" xfId="1" applyFont="1" applyFill="1" applyBorder="1" applyAlignment="1">
      <alignment horizontal="center" wrapText="1"/>
    </xf>
    <xf numFmtId="164" fontId="1" fillId="3" borderId="27" xfId="1" applyNumberFormat="1" applyFont="1" applyFill="1" applyBorder="1" applyAlignment="1">
      <alignment horizontal="center"/>
    </xf>
    <xf numFmtId="169" fontId="7" fillId="0" borderId="12" xfId="1" applyNumberFormat="1" applyFont="1" applyBorder="1" applyAlignment="1">
      <alignment horizontal="center" wrapText="1"/>
    </xf>
    <xf numFmtId="0" fontId="1" fillId="6" borderId="10" xfId="1" applyFont="1" applyFill="1" applyBorder="1" applyAlignment="1">
      <alignment horizontal="center" wrapText="1"/>
    </xf>
    <xf numFmtId="164" fontId="1" fillId="8" borderId="27" xfId="1" applyNumberFormat="1" applyFont="1" applyFill="1" applyBorder="1" applyAlignment="1">
      <alignment horizontal="center"/>
    </xf>
    <xf numFmtId="0" fontId="7" fillId="7" borderId="12" xfId="1" applyFont="1" applyFill="1" applyBorder="1" applyAlignment="1">
      <alignment horizontal="center" wrapText="1"/>
    </xf>
    <xf numFmtId="0" fontId="1" fillId="0" borderId="19" xfId="1" applyFont="1" applyBorder="1" applyAlignment="1">
      <alignment horizontal="center" wrapText="1"/>
    </xf>
    <xf numFmtId="0" fontId="1" fillId="0" borderId="20" xfId="1" applyFont="1" applyBorder="1" applyAlignment="1">
      <alignment horizontal="center" wrapText="1"/>
    </xf>
    <xf numFmtId="164" fontId="2" fillId="0" borderId="0" xfId="1" applyNumberFormat="1" applyAlignment="1">
      <alignment wrapText="1"/>
    </xf>
    <xf numFmtId="0" fontId="0" fillId="0" borderId="50" xfId="0" applyBorder="1"/>
    <xf numFmtId="0" fontId="2" fillId="0" borderId="51" xfId="1" applyBorder="1" applyAlignment="1">
      <alignment horizontal="left" vertical="center" wrapText="1"/>
    </xf>
    <xf numFmtId="0" fontId="2" fillId="0" borderId="52" xfId="1" applyBorder="1" applyAlignment="1">
      <alignment horizontal="center" wrapText="1"/>
    </xf>
    <xf numFmtId="44" fontId="0" fillId="0" borderId="52" xfId="2" applyFont="1" applyFill="1" applyBorder="1" applyAlignment="1">
      <alignment horizontal="center" wrapText="1"/>
    </xf>
    <xf numFmtId="8" fontId="2" fillId="0" borderId="53" xfId="1" applyNumberFormat="1" applyBorder="1" applyAlignment="1">
      <alignment horizontal="center" wrapText="1"/>
    </xf>
    <xf numFmtId="44" fontId="11" fillId="4" borderId="1" xfId="4" applyFont="1" applyFill="1" applyBorder="1" applyAlignment="1">
      <alignment horizontal="center" vertical="center" wrapText="1"/>
    </xf>
    <xf numFmtId="0" fontId="2" fillId="0" borderId="55" xfId="1" applyBorder="1" applyAlignment="1">
      <alignment horizontal="left" vertical="center" wrapText="1"/>
    </xf>
    <xf numFmtId="0" fontId="2" fillId="0" borderId="56" xfId="1" applyBorder="1" applyAlignment="1">
      <alignment horizontal="center" wrapText="1"/>
    </xf>
    <xf numFmtId="44" fontId="0" fillId="0" borderId="56" xfId="2" applyFont="1" applyFill="1" applyBorder="1" applyAlignment="1">
      <alignment horizontal="center" wrapText="1"/>
    </xf>
    <xf numFmtId="8" fontId="2" fillId="0" borderId="57" xfId="1" applyNumberForma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4" fontId="11" fillId="0" borderId="1" xfId="4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4" fillId="0" borderId="0" xfId="0" applyFont="1"/>
    <xf numFmtId="0" fontId="11" fillId="4" borderId="0" xfId="0" applyFont="1" applyFill="1" applyAlignment="1">
      <alignment horizontal="center" vertical="center" wrapText="1"/>
    </xf>
    <xf numFmtId="44" fontId="0" fillId="0" borderId="0" xfId="4" applyFont="1" applyFill="1" applyBorder="1"/>
    <xf numFmtId="43" fontId="1" fillId="5" borderId="27" xfId="1" applyNumberFormat="1" applyFont="1" applyFill="1" applyBorder="1" applyAlignment="1">
      <alignment horizontal="center"/>
    </xf>
    <xf numFmtId="2" fontId="2" fillId="0" borderId="56" xfId="1" applyNumberFormat="1" applyBorder="1" applyAlignment="1">
      <alignment horizontal="center" wrapText="1"/>
    </xf>
    <xf numFmtId="167" fontId="2" fillId="0" borderId="57" xfId="1" applyNumberFormat="1" applyBorder="1" applyAlignment="1">
      <alignment horizontal="center" wrapText="1"/>
    </xf>
    <xf numFmtId="0" fontId="0" fillId="0" borderId="1" xfId="1" applyFont="1" applyBorder="1" applyAlignment="1">
      <alignment wrapText="1"/>
    </xf>
    <xf numFmtId="0" fontId="2" fillId="0" borderId="1" xfId="1" applyBorder="1" applyAlignment="1">
      <alignment horizontal="center" vertical="center" wrapText="1"/>
    </xf>
    <xf numFmtId="168" fontId="2" fillId="0" borderId="1" xfId="1" applyNumberFormat="1" applyBorder="1" applyAlignment="1">
      <alignment horizontal="center" vertical="center" wrapText="1"/>
    </xf>
    <xf numFmtId="4" fontId="2" fillId="0" borderId="1" xfId="1" applyNumberFormat="1" applyBorder="1" applyAlignment="1">
      <alignment horizontal="center" wrapText="1"/>
    </xf>
    <xf numFmtId="0" fontId="0" fillId="0" borderId="58" xfId="0" applyBorder="1"/>
    <xf numFmtId="0" fontId="0" fillId="0" borderId="59" xfId="1" applyFont="1" applyBorder="1" applyAlignment="1">
      <alignment wrapText="1"/>
    </xf>
    <xf numFmtId="0" fontId="2" fillId="0" borderId="59" xfId="1" applyBorder="1" applyAlignment="1">
      <alignment horizontal="center" vertical="center" wrapText="1"/>
    </xf>
    <xf numFmtId="168" fontId="2" fillId="0" borderId="59" xfId="1" applyNumberFormat="1" applyBorder="1" applyAlignment="1">
      <alignment horizontal="center" vertical="center" wrapText="1"/>
    </xf>
    <xf numFmtId="4" fontId="2" fillId="0" borderId="59" xfId="1" applyNumberFormat="1" applyBorder="1" applyAlignment="1">
      <alignment horizontal="center" wrapText="1"/>
    </xf>
    <xf numFmtId="40" fontId="2" fillId="0" borderId="60" xfId="1" applyNumberFormat="1" applyBorder="1" applyAlignment="1">
      <alignment horizontal="center" wrapText="1"/>
    </xf>
    <xf numFmtId="0" fontId="0" fillId="0" borderId="6" xfId="0" applyBorder="1"/>
    <xf numFmtId="40" fontId="2" fillId="0" borderId="7" xfId="1" applyNumberFormat="1" applyBorder="1" applyAlignment="1">
      <alignment horizontal="center" wrapText="1"/>
    </xf>
    <xf numFmtId="0" fontId="0" fillId="0" borderId="61" xfId="0" applyBorder="1"/>
    <xf numFmtId="0" fontId="0" fillId="0" borderId="62" xfId="1" applyFont="1" applyBorder="1" applyAlignment="1">
      <alignment wrapText="1"/>
    </xf>
    <xf numFmtId="0" fontId="2" fillId="0" borderId="62" xfId="1" applyBorder="1" applyAlignment="1">
      <alignment horizontal="center" vertical="center" wrapText="1"/>
    </xf>
    <xf numFmtId="168" fontId="2" fillId="0" borderId="62" xfId="1" applyNumberFormat="1" applyBorder="1" applyAlignment="1">
      <alignment horizontal="center" vertical="center" wrapText="1"/>
    </xf>
    <xf numFmtId="4" fontId="2" fillId="0" borderId="62" xfId="1" applyNumberFormat="1" applyBorder="1" applyAlignment="1">
      <alignment horizontal="center" wrapText="1"/>
    </xf>
    <xf numFmtId="40" fontId="2" fillId="0" borderId="63" xfId="1" applyNumberFormat="1" applyBorder="1" applyAlignment="1">
      <alignment horizontal="center" wrapText="1"/>
    </xf>
    <xf numFmtId="0" fontId="1" fillId="0" borderId="16" xfId="1" applyFont="1" applyBorder="1" applyAlignment="1">
      <alignment horizontal="center" vertical="center" wrapText="1"/>
    </xf>
    <xf numFmtId="0" fontId="9" fillId="0" borderId="1" xfId="1" applyFont="1" applyBorder="1" applyAlignment="1">
      <alignment wrapText="1"/>
    </xf>
    <xf numFmtId="0" fontId="0" fillId="0" borderId="1" xfId="1" applyFont="1" applyBorder="1" applyAlignment="1">
      <alignment horizontal="center" vertical="center" wrapText="1"/>
    </xf>
    <xf numFmtId="2" fontId="2" fillId="0" borderId="1" xfId="1" applyNumberFormat="1" applyBorder="1" applyAlignment="1">
      <alignment horizontal="center" wrapText="1"/>
    </xf>
    <xf numFmtId="0" fontId="0" fillId="0" borderId="58" xfId="0" applyBorder="1" applyAlignment="1">
      <alignment horizontal="left"/>
    </xf>
    <xf numFmtId="0" fontId="9" fillId="0" borderId="59" xfId="1" applyFont="1" applyBorder="1" applyAlignment="1">
      <alignment wrapText="1"/>
    </xf>
    <xf numFmtId="0" fontId="0" fillId="0" borderId="59" xfId="1" applyFont="1" applyBorder="1" applyAlignment="1">
      <alignment horizontal="center" vertical="center" wrapText="1"/>
    </xf>
    <xf numFmtId="2" fontId="2" fillId="0" borderId="59" xfId="1" applyNumberFormat="1" applyBorder="1" applyAlignment="1">
      <alignment horizontal="center" wrapText="1"/>
    </xf>
    <xf numFmtId="0" fontId="0" fillId="0" borderId="6" xfId="0" applyBorder="1" applyAlignment="1">
      <alignment horizontal="left"/>
    </xf>
    <xf numFmtId="0" fontId="0" fillId="0" borderId="61" xfId="0" applyBorder="1" applyAlignment="1">
      <alignment horizontal="left"/>
    </xf>
    <xf numFmtId="0" fontId="9" fillId="0" borderId="62" xfId="1" applyFont="1" applyBorder="1" applyAlignment="1">
      <alignment wrapText="1"/>
    </xf>
    <xf numFmtId="0" fontId="0" fillId="0" borderId="62" xfId="1" applyFont="1" applyBorder="1" applyAlignment="1">
      <alignment horizontal="center" vertical="center" wrapText="1"/>
    </xf>
    <xf numFmtId="2" fontId="2" fillId="0" borderId="62" xfId="1" applyNumberFormat="1" applyBorder="1" applyAlignment="1">
      <alignment horizontal="center" wrapText="1"/>
    </xf>
    <xf numFmtId="0" fontId="0" fillId="0" borderId="64" xfId="0" applyBorder="1"/>
    <xf numFmtId="0" fontId="2" fillId="0" borderId="65" xfId="1" applyBorder="1" applyAlignment="1">
      <alignment wrapText="1"/>
    </xf>
    <xf numFmtId="0" fontId="2" fillId="0" borderId="65" xfId="1" applyBorder="1" applyAlignment="1">
      <alignment horizontal="center" wrapText="1"/>
    </xf>
    <xf numFmtId="2" fontId="2" fillId="0" borderId="65" xfId="1" applyNumberFormat="1" applyBorder="1" applyAlignment="1">
      <alignment horizontal="center" wrapText="1"/>
    </xf>
    <xf numFmtId="167" fontId="2" fillId="0" borderId="66" xfId="1" applyNumberFormat="1" applyBorder="1" applyAlignment="1">
      <alignment horizontal="center" wrapText="1"/>
    </xf>
    <xf numFmtId="0" fontId="2" fillId="0" borderId="67" xfId="1" applyBorder="1" applyAlignment="1">
      <alignment wrapText="1"/>
    </xf>
    <xf numFmtId="2" fontId="2" fillId="0" borderId="1" xfId="1" applyNumberFormat="1" applyBorder="1" applyAlignment="1">
      <alignment horizontal="center" vertical="center" wrapText="1"/>
    </xf>
    <xf numFmtId="0" fontId="2" fillId="0" borderId="65" xfId="1" applyBorder="1" applyAlignment="1">
      <alignment horizontal="left" vertical="center" wrapText="1"/>
    </xf>
    <xf numFmtId="44" fontId="0" fillId="0" borderId="65" xfId="2" applyFont="1" applyFill="1" applyBorder="1" applyAlignment="1">
      <alignment horizontal="center" wrapText="1"/>
    </xf>
    <xf numFmtId="8" fontId="2" fillId="0" borderId="66" xfId="1" applyNumberFormat="1" applyBorder="1" applyAlignment="1">
      <alignment horizontal="center" wrapText="1"/>
    </xf>
    <xf numFmtId="2" fontId="2" fillId="0" borderId="59" xfId="1" applyNumberFormat="1" applyBorder="1" applyAlignment="1">
      <alignment horizontal="center" vertical="center" wrapText="1"/>
    </xf>
    <xf numFmtId="2" fontId="2" fillId="0" borderId="62" xfId="1" applyNumberFormat="1" applyBorder="1" applyAlignment="1">
      <alignment horizontal="center" vertical="center" wrapText="1"/>
    </xf>
    <xf numFmtId="0" fontId="5" fillId="0" borderId="64" xfId="3" applyFont="1" applyBorder="1" applyProtection="1">
      <protection locked="0"/>
    </xf>
    <xf numFmtId="166" fontId="2" fillId="0" borderId="1" xfId="1" applyNumberFormat="1" applyBorder="1" applyAlignment="1">
      <alignment horizontal="center" vertical="center" wrapText="1"/>
    </xf>
    <xf numFmtId="166" fontId="2" fillId="0" borderId="59" xfId="1" applyNumberFormat="1" applyBorder="1" applyAlignment="1">
      <alignment horizontal="center" vertical="center" wrapText="1"/>
    </xf>
    <xf numFmtId="166" fontId="2" fillId="0" borderId="62" xfId="1" applyNumberFormat="1" applyBorder="1" applyAlignment="1">
      <alignment horizontal="center" vertical="center" wrapText="1"/>
    </xf>
    <xf numFmtId="0" fontId="5" fillId="0" borderId="65" xfId="3" applyFont="1" applyBorder="1" applyProtection="1">
      <protection locked="0"/>
    </xf>
    <xf numFmtId="0" fontId="5" fillId="0" borderId="68" xfId="3" applyFont="1" applyBorder="1" applyProtection="1">
      <protection locked="0"/>
    </xf>
    <xf numFmtId="0" fontId="9" fillId="0" borderId="65" xfId="1" applyFont="1" applyBorder="1" applyAlignment="1">
      <alignment wrapText="1"/>
    </xf>
    <xf numFmtId="0" fontId="0" fillId="0" borderId="65" xfId="1" applyFont="1" applyBorder="1" applyAlignment="1">
      <alignment horizontal="center" vertical="center" wrapText="1"/>
    </xf>
    <xf numFmtId="2" fontId="2" fillId="0" borderId="65" xfId="1" applyNumberFormat="1" applyBorder="1" applyAlignment="1">
      <alignment horizontal="center" vertical="center" wrapText="1"/>
    </xf>
    <xf numFmtId="4" fontId="2" fillId="0" borderId="65" xfId="1" applyNumberFormat="1" applyBorder="1" applyAlignment="1">
      <alignment horizontal="center" wrapText="1"/>
    </xf>
    <xf numFmtId="40" fontId="2" fillId="0" borderId="66" xfId="1" applyNumberFormat="1" applyBorder="1" applyAlignment="1">
      <alignment horizontal="center" wrapText="1"/>
    </xf>
    <xf numFmtId="0" fontId="2" fillId="0" borderId="65" xfId="1" applyBorder="1" applyAlignment="1">
      <alignment horizontal="center" vertical="center" wrapText="1"/>
    </xf>
    <xf numFmtId="0" fontId="0" fillId="0" borderId="29" xfId="0" applyBorder="1"/>
    <xf numFmtId="0" fontId="0" fillId="0" borderId="65" xfId="1" applyFont="1" applyBorder="1" applyAlignment="1">
      <alignment wrapText="1"/>
    </xf>
    <xf numFmtId="0" fontId="4" fillId="3" borderId="69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0" fillId="0" borderId="65" xfId="0" applyBorder="1"/>
    <xf numFmtId="44" fontId="0" fillId="0" borderId="66" xfId="4" applyFont="1" applyBorder="1" applyProtection="1"/>
    <xf numFmtId="0" fontId="0" fillId="0" borderId="65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4" borderId="29" xfId="0" applyFill="1" applyBorder="1"/>
    <xf numFmtId="0" fontId="0" fillId="4" borderId="1" xfId="0" applyFill="1" applyBorder="1"/>
    <xf numFmtId="0" fontId="0" fillId="4" borderId="0" xfId="0" applyFill="1"/>
    <xf numFmtId="0" fontId="5" fillId="4" borderId="32" xfId="0" applyFont="1" applyFill="1" applyBorder="1" applyAlignment="1">
      <alignment horizontal="left" vertical="center" wrapText="1"/>
    </xf>
    <xf numFmtId="0" fontId="0" fillId="4" borderId="71" xfId="0" applyFill="1" applyBorder="1"/>
    <xf numFmtId="0" fontId="5" fillId="4" borderId="34" xfId="0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vertical="center" shrinkToFit="1"/>
    </xf>
    <xf numFmtId="44" fontId="11" fillId="0" borderId="1" xfId="4" applyFont="1" applyFill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165" fontId="5" fillId="0" borderId="8" xfId="0" applyNumberFormat="1" applyFont="1" applyBorder="1" applyAlignment="1">
      <alignment vertical="center" shrinkToFit="1"/>
    </xf>
    <xf numFmtId="0" fontId="4" fillId="0" borderId="6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0" fillId="0" borderId="0" xfId="0" applyProtection="1">
      <protection locked="0"/>
    </xf>
    <xf numFmtId="44" fontId="5" fillId="0" borderId="1" xfId="4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44" fontId="0" fillId="0" borderId="1" xfId="4" applyFont="1" applyFill="1" applyBorder="1"/>
    <xf numFmtId="44" fontId="0" fillId="0" borderId="1" xfId="0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9" fontId="11" fillId="0" borderId="1" xfId="0" applyNumberFormat="1" applyFont="1" applyBorder="1" applyAlignment="1">
      <alignment wrapText="1"/>
    </xf>
    <xf numFmtId="2" fontId="11" fillId="0" borderId="1" xfId="0" applyNumberFormat="1" applyFont="1" applyBorder="1" applyAlignment="1">
      <alignment wrapText="1"/>
    </xf>
    <xf numFmtId="0" fontId="1" fillId="0" borderId="72" xfId="1" applyFont="1" applyBorder="1" applyAlignment="1">
      <alignment horizontal="center" vertical="center" wrapText="1"/>
    </xf>
    <xf numFmtId="0" fontId="1" fillId="0" borderId="73" xfId="1" applyFont="1" applyBorder="1" applyAlignment="1">
      <alignment horizontal="center" vertical="center" wrapText="1"/>
    </xf>
    <xf numFmtId="166" fontId="2" fillId="0" borderId="35" xfId="1" applyNumberFormat="1" applyBorder="1" applyAlignment="1">
      <alignment horizontal="center" vertical="center" wrapText="1"/>
    </xf>
    <xf numFmtId="0" fontId="1" fillId="0" borderId="23" xfId="1" applyFont="1" applyBorder="1" applyAlignment="1">
      <alignment horizontal="center" wrapText="1"/>
    </xf>
    <xf numFmtId="0" fontId="1" fillId="0" borderId="24" xfId="1" applyFont="1" applyBorder="1" applyAlignment="1">
      <alignment horizontal="center" wrapText="1"/>
    </xf>
    <xf numFmtId="0" fontId="0" fillId="0" borderId="35" xfId="1" applyFont="1" applyBorder="1" applyAlignment="1">
      <alignment wrapText="1"/>
    </xf>
    <xf numFmtId="0" fontId="2" fillId="0" borderId="35" xfId="1" applyBorder="1" applyAlignment="1">
      <alignment horizontal="center" vertical="center" wrapText="1"/>
    </xf>
    <xf numFmtId="4" fontId="2" fillId="0" borderId="35" xfId="1" applyNumberFormat="1" applyBorder="1" applyAlignment="1">
      <alignment horizontal="center" wrapText="1"/>
    </xf>
    <xf numFmtId="0" fontId="0" fillId="0" borderId="74" xfId="0" applyBorder="1"/>
    <xf numFmtId="40" fontId="2" fillId="0" borderId="75" xfId="1" applyNumberFormat="1" applyBorder="1" applyAlignment="1">
      <alignment horizontal="center" wrapText="1"/>
    </xf>
    <xf numFmtId="0" fontId="1" fillId="0" borderId="36" xfId="1" applyFont="1" applyBorder="1" applyAlignment="1">
      <alignment horizontal="center" vertical="center" wrapText="1"/>
    </xf>
    <xf numFmtId="0" fontId="2" fillId="0" borderId="60" xfId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59" xfId="0" applyBorder="1" applyAlignment="1">
      <alignment horizontal="left" wrapText="1"/>
    </xf>
    <xf numFmtId="0" fontId="0" fillId="0" borderId="59" xfId="0" applyBorder="1" applyAlignment="1">
      <alignment horizontal="center" wrapText="1"/>
    </xf>
    <xf numFmtId="166" fontId="0" fillId="0" borderId="59" xfId="0" applyNumberFormat="1" applyBorder="1" applyAlignment="1">
      <alignment horizontal="center" wrapText="1"/>
    </xf>
    <xf numFmtId="2" fontId="0" fillId="0" borderId="59" xfId="0" applyNumberFormat="1" applyBorder="1" applyAlignment="1">
      <alignment horizontal="center" wrapText="1"/>
    </xf>
    <xf numFmtId="40" fontId="0" fillId="0" borderId="60" xfId="0" applyNumberFormat="1" applyBorder="1" applyAlignment="1">
      <alignment horizontal="center" wrapText="1"/>
    </xf>
    <xf numFmtId="40" fontId="0" fillId="0" borderId="7" xfId="0" applyNumberFormat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2" xfId="0" applyBorder="1" applyAlignment="1">
      <alignment horizontal="center" wrapText="1"/>
    </xf>
    <xf numFmtId="166" fontId="0" fillId="0" borderId="62" xfId="0" applyNumberFormat="1" applyBorder="1" applyAlignment="1">
      <alignment horizontal="center" wrapText="1"/>
    </xf>
    <xf numFmtId="2" fontId="0" fillId="0" borderId="62" xfId="0" applyNumberFormat="1" applyBorder="1" applyAlignment="1">
      <alignment horizontal="center" wrapText="1"/>
    </xf>
    <xf numFmtId="40" fontId="0" fillId="0" borderId="63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wrapText="1"/>
    </xf>
    <xf numFmtId="0" fontId="0" fillId="0" borderId="59" xfId="0" applyBorder="1" applyAlignment="1">
      <alignment wrapText="1"/>
    </xf>
    <xf numFmtId="4" fontId="0" fillId="0" borderId="59" xfId="0" applyNumberFormat="1" applyBorder="1" applyAlignment="1">
      <alignment horizontal="center" wrapText="1"/>
    </xf>
    <xf numFmtId="0" fontId="0" fillId="0" borderId="62" xfId="0" applyBorder="1" applyAlignment="1">
      <alignment wrapText="1"/>
    </xf>
    <xf numFmtId="4" fontId="0" fillId="0" borderId="62" xfId="0" applyNumberFormat="1" applyBorder="1" applyAlignment="1">
      <alignment horizontal="center" wrapText="1"/>
    </xf>
    <xf numFmtId="2" fontId="11" fillId="0" borderId="1" xfId="0" applyNumberFormat="1" applyFont="1" applyBorder="1" applyAlignment="1">
      <alignment horizontal="center" vertical="center" wrapText="1"/>
    </xf>
    <xf numFmtId="44" fontId="11" fillId="0" borderId="0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44" fontId="0" fillId="0" borderId="75" xfId="4" applyFont="1" applyBorder="1" applyProtection="1"/>
    <xf numFmtId="0" fontId="0" fillId="0" borderId="76" xfId="0" applyBorder="1"/>
    <xf numFmtId="44" fontId="0" fillId="0" borderId="77" xfId="4" applyFont="1" applyBorder="1" applyProtection="1"/>
    <xf numFmtId="0" fontId="0" fillId="0" borderId="78" xfId="0" applyBorder="1"/>
    <xf numFmtId="44" fontId="0" fillId="0" borderId="79" xfId="4" applyFont="1" applyBorder="1" applyProtection="1"/>
    <xf numFmtId="44" fontId="5" fillId="2" borderId="35" xfId="4" applyFont="1" applyFill="1" applyBorder="1" applyAlignment="1">
      <alignment horizontal="center" vertical="center"/>
    </xf>
    <xf numFmtId="44" fontId="5" fillId="2" borderId="1" xfId="4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left" vertical="center" wrapText="1"/>
    </xf>
    <xf numFmtId="0" fontId="0" fillId="4" borderId="30" xfId="0" applyFill="1" applyBorder="1"/>
    <xf numFmtId="0" fontId="16" fillId="4" borderId="32" xfId="0" applyFont="1" applyFill="1" applyBorder="1" applyAlignment="1">
      <alignment horizontal="left" vertical="center" wrapText="1"/>
    </xf>
    <xf numFmtId="0" fontId="0" fillId="9" borderId="1" xfId="0" applyFill="1" applyBorder="1"/>
    <xf numFmtId="0" fontId="0" fillId="9" borderId="8" xfId="0" applyFill="1" applyBorder="1"/>
    <xf numFmtId="0" fontId="0" fillId="0" borderId="1" xfId="0" applyBorder="1" applyAlignment="1">
      <alignment horizontal="center" vertical="center"/>
    </xf>
    <xf numFmtId="44" fontId="0" fillId="0" borderId="1" xfId="4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 vertical="center" wrapText="1"/>
    </xf>
    <xf numFmtId="165" fontId="5" fillId="4" borderId="31" xfId="0" applyNumberFormat="1" applyFont="1" applyFill="1" applyBorder="1" applyAlignment="1">
      <alignment vertical="center" shrinkToFit="1"/>
    </xf>
    <xf numFmtId="0" fontId="5" fillId="6" borderId="1" xfId="0" applyFont="1" applyFill="1" applyBorder="1" applyAlignment="1">
      <alignment horizontal="center" vertical="center"/>
    </xf>
    <xf numFmtId="165" fontId="5" fillId="6" borderId="1" xfId="0" applyNumberFormat="1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center" vertical="center"/>
    </xf>
    <xf numFmtId="44" fontId="0" fillId="0" borderId="0" xfId="4" applyFont="1" applyBorder="1" applyProtection="1"/>
    <xf numFmtId="0" fontId="0" fillId="0" borderId="0" xfId="0" applyAlignment="1">
      <alignment horizontal="center"/>
    </xf>
    <xf numFmtId="0" fontId="16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0" fillId="0" borderId="0" xfId="4" applyFont="1" applyAlignment="1">
      <alignment horizontal="left" vertical="center"/>
    </xf>
    <xf numFmtId="0" fontId="17" fillId="10" borderId="1" xfId="0" applyFont="1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5" fontId="0" fillId="0" borderId="66" xfId="4" applyNumberFormat="1" applyFont="1" applyBorder="1" applyProtection="1"/>
    <xf numFmtId="0" fontId="0" fillId="0" borderId="54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4" fontId="15" fillId="0" borderId="5" xfId="4" applyFont="1" applyBorder="1" applyAlignment="1" applyProtection="1">
      <alignment horizontal="center" vertical="center"/>
    </xf>
    <xf numFmtId="44" fontId="15" fillId="0" borderId="70" xfId="4" applyFont="1" applyBorder="1" applyAlignment="1" applyProtection="1">
      <alignment horizontal="center" vertical="center"/>
    </xf>
    <xf numFmtId="44" fontId="15" fillId="0" borderId="26" xfId="4" applyFont="1" applyBorder="1" applyAlignment="1" applyProtection="1">
      <alignment horizontal="center" vertical="center"/>
    </xf>
    <xf numFmtId="0" fontId="18" fillId="5" borderId="0" xfId="0" applyFont="1" applyFill="1" applyAlignment="1">
      <alignment horizontal="left" vertical="center" wrapText="1"/>
    </xf>
    <xf numFmtId="44" fontId="15" fillId="0" borderId="0" xfId="4" applyFont="1" applyBorder="1" applyAlignment="1" applyProtection="1">
      <alignment horizontal="center" vertical="center"/>
    </xf>
    <xf numFmtId="0" fontId="10" fillId="4" borderId="2" xfId="0" applyFont="1" applyFill="1" applyBorder="1" applyAlignment="1">
      <alignment horizontal="center" wrapText="1"/>
    </xf>
    <xf numFmtId="0" fontId="10" fillId="4" borderId="32" xfId="0" applyFont="1" applyFill="1" applyBorder="1" applyAlignment="1">
      <alignment horizontal="center" wrapText="1"/>
    </xf>
    <xf numFmtId="0" fontId="10" fillId="4" borderId="33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" fillId="0" borderId="19" xfId="1" applyFont="1" applyBorder="1" applyAlignment="1">
      <alignment horizontal="center" wrapText="1"/>
    </xf>
    <xf numFmtId="0" fontId="1" fillId="0" borderId="20" xfId="1" applyFont="1" applyBorder="1" applyAlignment="1">
      <alignment horizontal="center" wrapText="1"/>
    </xf>
    <xf numFmtId="0" fontId="1" fillId="3" borderId="29" xfId="1" applyFont="1" applyFill="1" applyBorder="1" applyAlignment="1">
      <alignment horizontal="center"/>
    </xf>
    <xf numFmtId="0" fontId="1" fillId="3" borderId="21" xfId="1" applyFont="1" applyFill="1" applyBorder="1" applyAlignment="1">
      <alignment horizontal="center"/>
    </xf>
    <xf numFmtId="0" fontId="1" fillId="0" borderId="9" xfId="1" applyFont="1" applyBorder="1" applyAlignment="1">
      <alignment horizontal="left" wrapText="1"/>
    </xf>
    <xf numFmtId="0" fontId="1" fillId="0" borderId="10" xfId="1" applyFont="1" applyBorder="1" applyAlignment="1">
      <alignment horizontal="left" wrapText="1"/>
    </xf>
    <xf numFmtId="0" fontId="8" fillId="3" borderId="10" xfId="1" applyFont="1" applyFill="1" applyBorder="1" applyAlignment="1">
      <alignment horizontal="center"/>
    </xf>
    <xf numFmtId="0" fontId="8" fillId="3" borderId="11" xfId="1" applyFont="1" applyFill="1" applyBorder="1" applyAlignment="1">
      <alignment horizontal="center"/>
    </xf>
    <xf numFmtId="0" fontId="1" fillId="0" borderId="10" xfId="1" applyFont="1" applyBorder="1" applyAlignment="1">
      <alignment horizontal="center" wrapText="1"/>
    </xf>
    <xf numFmtId="0" fontId="1" fillId="0" borderId="11" xfId="1" applyFont="1" applyBorder="1" applyAlignment="1">
      <alignment horizontal="center" wrapText="1"/>
    </xf>
    <xf numFmtId="0" fontId="1" fillId="0" borderId="26" xfId="1" applyFont="1" applyBorder="1" applyAlignment="1">
      <alignment horizontal="center" wrapText="1"/>
    </xf>
    <xf numFmtId="0" fontId="1" fillId="5" borderId="29" xfId="1" applyFont="1" applyFill="1" applyBorder="1" applyAlignment="1">
      <alignment horizontal="center"/>
    </xf>
    <xf numFmtId="0" fontId="1" fillId="5" borderId="21" xfId="1" applyFont="1" applyFill="1" applyBorder="1" applyAlignment="1">
      <alignment horizontal="center"/>
    </xf>
    <xf numFmtId="0" fontId="1" fillId="6" borderId="10" xfId="1" applyFont="1" applyFill="1" applyBorder="1" applyAlignment="1">
      <alignment horizontal="center" wrapText="1"/>
    </xf>
    <xf numFmtId="0" fontId="1" fillId="6" borderId="11" xfId="1" applyFont="1" applyFill="1" applyBorder="1" applyAlignment="1">
      <alignment horizontal="center" wrapText="1"/>
    </xf>
    <xf numFmtId="0" fontId="1" fillId="8" borderId="29" xfId="1" applyFont="1" applyFill="1" applyBorder="1" applyAlignment="1">
      <alignment horizontal="center"/>
    </xf>
    <xf numFmtId="0" fontId="1" fillId="8" borderId="21" xfId="1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0" fillId="0" borderId="47" xfId="0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</cellXfs>
  <cellStyles count="5">
    <cellStyle name="Moneda" xfId="4" builtinId="4"/>
    <cellStyle name="Moneda 2" xfId="2" xr:uid="{00000000-0005-0000-0000-000001000000}"/>
    <cellStyle name="Normal" xfId="0" builtinId="0"/>
    <cellStyle name="Normal 2" xfId="1" xr:uid="{00000000-0005-0000-0000-000003000000}"/>
    <cellStyle name="Normal_Equipos" xfId="3" xr:uid="{00000000-0005-0000-0000-000004000000}"/>
  </cellStyles>
  <dxfs count="54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 &quot;$&quot;\ * #,##0.00_ ;_ &quot;$&quot;\ * \-#,##0.00_ ;_ &quot;$&quot;\ * &quot;-&quot;??_ ;_ @_ "/>
      <fill>
        <patternFill patternType="solid">
          <fgColor indexed="64"/>
          <bgColor rgb="FF00B050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00B05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rgb="FF00B05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0</xdr:row>
      <xdr:rowOff>91440</xdr:rowOff>
    </xdr:from>
    <xdr:to>
      <xdr:col>15</xdr:col>
      <xdr:colOff>259080</xdr:colOff>
      <xdr:row>12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1E1AF6C-9E44-4DC9-8B9D-E555D1FD9B57}"/>
            </a:ext>
          </a:extLst>
        </xdr:cNvPr>
        <xdr:cNvSpPr txBox="1"/>
      </xdr:nvSpPr>
      <xdr:spPr>
        <a:xfrm>
          <a:off x="8465820" y="91440"/>
          <a:ext cx="5379720" cy="2674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La cantidad de cal a incorporar al suelo deberá ser del dos por ciento (2%) de Cal Útil Vial (CUV), referido al peso de suelo seco o un porcentaje mayor que resulte de acuerdo a la modificación que se pretenda de las constantes físicas y/o parámetros resistentes del suelo (Sección 1, Art. 2, del presente Capítulo, “Materiales”) o con lo indicado en las Especificaciones Particulares.   </a:t>
          </a:r>
        </a:p>
        <a:p>
          <a:r>
            <a:rPr lang="es-AR" sz="1100"/>
            <a:t>El Mejoramiento de la Subrasante con Cal, ejecutado de acuerdo a  las presentes Especificaciones se medirá por metro cuadrado (m2).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12</xdr:col>
      <xdr:colOff>259080</xdr:colOff>
      <xdr:row>5</xdr:row>
      <xdr:rowOff>266700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E6B5EF3-8C10-4EB0-9E15-1EF8B178C4F8}"/>
            </a:ext>
          </a:extLst>
        </xdr:cNvPr>
        <xdr:cNvSpPr txBox="1"/>
      </xdr:nvSpPr>
      <xdr:spPr>
        <a:xfrm>
          <a:off x="8831580" y="190500"/>
          <a:ext cx="2636520" cy="1043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 Agregado pétreo 10 - 30: mínimo 30 % </a:t>
          </a:r>
        </a:p>
        <a:p>
          <a:r>
            <a:rPr lang="es-AR" sz="1100"/>
            <a:t> Agregado pétreo 6 - 20: mínimo 25 % </a:t>
          </a:r>
        </a:p>
        <a:p>
          <a:r>
            <a:rPr lang="es-AR" sz="1100"/>
            <a:t> Agregado pétreo 0 - 6: máximo 25 %  </a:t>
          </a:r>
        </a:p>
        <a:p>
          <a:r>
            <a:rPr lang="es-AR" sz="1100"/>
            <a:t> Suelo de Yacimiento: máximo 20 %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12</xdr:col>
      <xdr:colOff>259080</xdr:colOff>
      <xdr:row>5</xdr:row>
      <xdr:rowOff>266700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FAB55E8-E664-40C3-B1A6-673B5F49F79D}"/>
            </a:ext>
          </a:extLst>
        </xdr:cNvPr>
        <xdr:cNvSpPr txBox="1"/>
      </xdr:nvSpPr>
      <xdr:spPr>
        <a:xfrm>
          <a:off x="8854440" y="190500"/>
          <a:ext cx="2636520" cy="1043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 Agregado pétreo 10 - 30: mínimo 30 % </a:t>
          </a:r>
        </a:p>
        <a:p>
          <a:r>
            <a:rPr lang="es-AR" sz="1100"/>
            <a:t> Agregado pétreo 6 - 20: mínimo 25 % </a:t>
          </a:r>
        </a:p>
        <a:p>
          <a:r>
            <a:rPr lang="es-AR" sz="1100"/>
            <a:t> Agregado pétreo 0 - 6: máximo 25 %  </a:t>
          </a:r>
        </a:p>
        <a:p>
          <a:r>
            <a:rPr lang="es-AR" sz="1100"/>
            <a:t> Suelo de Yacimiento: máximo 20 %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530976</xdr:colOff>
      <xdr:row>0</xdr:row>
      <xdr:rowOff>9871</xdr:rowOff>
    </xdr:from>
    <xdr:to>
      <xdr:col>15</xdr:col>
      <xdr:colOff>502401</xdr:colOff>
      <xdr:row>16</xdr:row>
      <xdr:rowOff>37401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3D9114-899F-4186-B867-BFD3838D5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056" y="9871"/>
          <a:ext cx="3933825" cy="3410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530976</xdr:colOff>
      <xdr:row>0</xdr:row>
      <xdr:rowOff>9871</xdr:rowOff>
    </xdr:from>
    <xdr:to>
      <xdr:col>15</xdr:col>
      <xdr:colOff>502401</xdr:colOff>
      <xdr:row>16</xdr:row>
      <xdr:rowOff>22161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87FD50-B824-4EC0-BB90-9533522F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056" y="9871"/>
          <a:ext cx="3933825" cy="3410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782436</xdr:colOff>
      <xdr:row>0</xdr:row>
      <xdr:rowOff>177511</xdr:rowOff>
    </xdr:from>
    <xdr:to>
      <xdr:col>16</xdr:col>
      <xdr:colOff>753861</xdr:colOff>
      <xdr:row>16</xdr:row>
      <xdr:rowOff>189801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7BD1BF-38A9-4B5E-871A-6CE4DBF8A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5996" y="177511"/>
          <a:ext cx="3933825" cy="34108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8:F44" headerRowDxfId="53" dataDxfId="52" tableBorderDxfId="51">
  <autoFilter ref="A8:F44" xr:uid="{00000000-0009-0000-0100-000002000000}"/>
  <tableColumns count="6">
    <tableColumn id="1" xr3:uid="{00000000-0010-0000-0000-000001000000}" name="Rubro" totalsRowLabel="Total" dataDxfId="50" totalsRowDxfId="49"/>
    <tableColumn id="3" xr3:uid="{00000000-0010-0000-0000-000003000000}" name="Tarea" dataDxfId="48" totalsRowDxfId="47"/>
    <tableColumn id="4" xr3:uid="{00000000-0010-0000-0000-000004000000}" name="Unidad" dataDxfId="46">
      <calculatedColumnFormula>IFERROR((VLOOKUP($B9,Presupuesto!$D$4:$E$51,2,FALSE)),"")</calculatedColumnFormula>
    </tableColumn>
    <tableColumn id="5" xr3:uid="{00000000-0010-0000-0000-000005000000}" name="Cantidad" dataDxfId="45" totalsRowDxfId="44"/>
    <tableColumn id="6" xr3:uid="{00000000-0010-0000-0000-000006000000}" name="Precio unitario" totalsRowFunction="count" dataDxfId="43">
      <calculatedColumnFormula>IFERROR((VLOOKUP($B9,Presupuesto!$D$4:$H$51,5,FALSE)),"")</calculatedColumnFormula>
    </tableColumn>
    <tableColumn id="2" xr3:uid="{00000000-0010-0000-0000-000002000000}" name="Precio total" dataDxfId="42">
      <calculatedColumnFormula>IFERROR(D9*E9,"")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4:H51" totalsRowShown="0" headerRowDxfId="41" dataDxfId="40" tableBorderDxfId="39">
  <autoFilter ref="A4:H51" xr:uid="{00000000-0009-0000-0100-000001000000}"/>
  <tableColumns count="8">
    <tableColumn id="1" xr3:uid="{00000000-0010-0000-0100-000001000000}" name="Rubro" dataDxfId="38"/>
    <tableColumn id="7" xr3:uid="{00000000-0010-0000-0100-000007000000}" name="Columna1" dataDxfId="37"/>
    <tableColumn id="2" xr3:uid="{00000000-0010-0000-0100-000002000000}" name="Ítem" dataDxfId="36"/>
    <tableColumn id="3" xr3:uid="{00000000-0010-0000-0100-000003000000}" name="Tarea" dataDxfId="35"/>
    <tableColumn id="4" xr3:uid="{00000000-0010-0000-0100-000004000000}" name="Unidad" dataDxfId="34"/>
    <tableColumn id="5" xr3:uid="{00000000-0010-0000-0100-000005000000}" name="Cantidad" dataDxfId="33"/>
    <tableColumn id="6" xr3:uid="{00000000-0010-0000-0100-000006000000}" name="P. U. (nov-2023)" dataDxfId="32"/>
    <tableColumn id="8" xr3:uid="{00000000-0010-0000-0100-000008000000}" name="Precio actualizado" dataDxfId="3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OVIMIENTO_DE_SUELO" displayName="MOVIMIENTO_DE_SUELO" ref="C3:C15" totalsRowShown="0" headerRowDxfId="30" dataDxfId="28" headerRowBorderDxfId="29" tableBorderDxfId="27" totalsRowBorderDxfId="26">
  <autoFilter ref="C3:C15" xr:uid="{00000000-0009-0000-0100-000003000000}"/>
  <tableColumns count="1">
    <tableColumn id="1" xr3:uid="{00000000-0010-0000-0200-000001000000}" name="MOVIMIENTO_DE_SUELO" dataDxfId="2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BASE_O_SUB_BASE" displayName="BASE_O_SUB_BASE" ref="D3:D17" totalsRowShown="0" headerRowDxfId="24" dataDxfId="22" headerRowBorderDxfId="23" tableBorderDxfId="21" totalsRowBorderDxfId="20">
  <autoFilter ref="D3:D17" xr:uid="{00000000-0009-0000-0100-000004000000}"/>
  <tableColumns count="1">
    <tableColumn id="1" xr3:uid="{00000000-0010-0000-0300-000001000000}" name="BASE_O_SUB_BASE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PAVIMENTO_FLEXIBLE" displayName="PAVIMENTO_FLEXIBLE" ref="E3:E6" totalsRowShown="0" headerRowDxfId="18" dataDxfId="17" tableBorderDxfId="16">
  <autoFilter ref="E3:E6" xr:uid="{00000000-0009-0000-0100-000005000000}"/>
  <tableColumns count="1">
    <tableColumn id="1" xr3:uid="{00000000-0010-0000-0400-000001000000}" name="PAVIMENTO_FLEXIBLE" dataDxfId="1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PAVIMENTO_RÍGIDO" displayName="PAVIMENTO_RÍGIDO" ref="F3:F8" totalsRowShown="0" headerRowDxfId="14" dataDxfId="13" tableBorderDxfId="12">
  <autoFilter ref="F3:F8" xr:uid="{00000000-0009-0000-0100-000006000000}"/>
  <tableColumns count="1">
    <tableColumn id="1" xr3:uid="{00000000-0010-0000-0500-000001000000}" name="PAVIMENTO_RÍGIDO" dataDxfId="1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MEJORADO" displayName="MEJORADO" ref="G3:G10" totalsRowShown="0" headerRowDxfId="10" dataDxfId="9" tableBorderDxfId="8">
  <autoFilter ref="G3:G10" xr:uid="{00000000-0009-0000-0100-000007000000}"/>
  <tableColumns count="1">
    <tableColumn id="1" xr3:uid="{00000000-0010-0000-0600-000001000000}" name="MEJORADO" dataDxfId="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VARIOS" displayName="VARIOS" ref="H3:H8" totalsRowShown="0" headerRowDxfId="6" dataDxfId="5" tableBorderDxfId="4">
  <autoFilter ref="H3:H8" xr:uid="{00000000-0009-0000-0100-000008000000}"/>
  <tableColumns count="1">
    <tableColumn id="1" xr3:uid="{00000000-0010-0000-0700-000001000000}" name="VARIOS" dataDxf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9" displayName="Tabla9" ref="I3:I4" totalsRowShown="0" headerRowDxfId="2" dataDxfId="1">
  <autoFilter ref="I3:I4" xr:uid="{00000000-0009-0000-0100-000009000000}"/>
  <tableColumns count="1">
    <tableColumn id="1" xr3:uid="{00000000-0010-0000-0800-000001000000}" name="Seleccionar_rubr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58"/>
  <sheetViews>
    <sheetView tabSelected="1" zoomScale="83" zoomScaleNormal="83" workbookViewId="0">
      <selection activeCell="D9" sqref="D9"/>
    </sheetView>
  </sheetViews>
  <sheetFormatPr baseColWidth="10" defaultRowHeight="15" x14ac:dyDescent="0.25"/>
  <cols>
    <col min="1" max="1" width="21.42578125" customWidth="1"/>
    <col min="2" max="2" width="85.85546875" customWidth="1"/>
    <col min="4" max="4" width="11.5703125" customWidth="1"/>
    <col min="5" max="5" width="18.140625" customWidth="1"/>
    <col min="6" max="6" width="27.42578125" customWidth="1"/>
    <col min="7" max="7" width="22.42578125" customWidth="1"/>
    <col min="8" max="8" width="21.28515625" bestFit="1" customWidth="1"/>
    <col min="9" max="9" width="24" bestFit="1" customWidth="1"/>
    <col min="10" max="10" width="27.42578125" customWidth="1"/>
  </cols>
  <sheetData>
    <row r="1" spans="1:10" x14ac:dyDescent="0.25">
      <c r="A1" t="s">
        <v>239</v>
      </c>
      <c r="B1" t="s">
        <v>255</v>
      </c>
      <c r="C1" s="191"/>
    </row>
    <row r="2" spans="1:10" x14ac:dyDescent="0.25">
      <c r="A2" t="s">
        <v>240</v>
      </c>
      <c r="B2" t="s">
        <v>256</v>
      </c>
      <c r="C2" s="191"/>
    </row>
    <row r="3" spans="1:10" x14ac:dyDescent="0.25">
      <c r="A3" t="s">
        <v>241</v>
      </c>
      <c r="B3" t="s">
        <v>257</v>
      </c>
      <c r="C3" s="191"/>
    </row>
    <row r="4" spans="1:10" ht="14.45" x14ac:dyDescent="0.3">
      <c r="A4" t="s">
        <v>242</v>
      </c>
      <c r="B4" s="191" t="s">
        <v>258</v>
      </c>
      <c r="C4" s="191"/>
    </row>
    <row r="5" spans="1:10" x14ac:dyDescent="0.25">
      <c r="A5" t="s">
        <v>243</v>
      </c>
      <c r="B5" t="s">
        <v>244</v>
      </c>
      <c r="C5" s="191"/>
    </row>
    <row r="6" spans="1:10" ht="14.45" x14ac:dyDescent="0.3">
      <c r="C6" s="191"/>
    </row>
    <row r="8" spans="1:10" ht="14.45" x14ac:dyDescent="0.3">
      <c r="A8" s="164" t="s">
        <v>108</v>
      </c>
      <c r="B8" s="165" t="s">
        <v>109</v>
      </c>
      <c r="C8" s="165" t="s">
        <v>0</v>
      </c>
      <c r="D8" s="165" t="s">
        <v>107</v>
      </c>
      <c r="E8" s="166" t="s">
        <v>248</v>
      </c>
      <c r="F8" s="165" t="s">
        <v>106</v>
      </c>
    </row>
    <row r="9" spans="1:10" x14ac:dyDescent="0.25">
      <c r="A9" s="180" t="s">
        <v>230</v>
      </c>
      <c r="B9" s="182" t="s">
        <v>231</v>
      </c>
      <c r="C9" s="261" t="str">
        <f>IFERROR((VLOOKUP($B9,Presupuesto!$D$4:$E$51,2,FALSE)),"")</f>
        <v/>
      </c>
      <c r="D9" s="181" t="s">
        <v>206</v>
      </c>
      <c r="E9" s="262" t="str">
        <f>IFERROR((VLOOKUP($B9,Presupuesto!$D$4:$H$51,5,FALSE)),"")</f>
        <v/>
      </c>
      <c r="F9" s="194" t="str">
        <f t="shared" ref="F9:F10" si="0">IFERROR(D9*E9,"")</f>
        <v/>
      </c>
    </row>
    <row r="10" spans="1:10" ht="14.45" x14ac:dyDescent="0.3">
      <c r="A10" s="180" t="s">
        <v>230</v>
      </c>
      <c r="B10" s="182" t="s">
        <v>231</v>
      </c>
      <c r="C10" s="261" t="str">
        <f>IFERROR((VLOOKUP($B10,Presupuesto!$D$4:$E$51,2,FALSE)),"")</f>
        <v/>
      </c>
      <c r="D10" s="181" t="s">
        <v>206</v>
      </c>
      <c r="E10" s="262" t="str">
        <f>IFERROR((VLOOKUP($B10,Presupuesto!$D$4:$H$51,5,FALSE)),"")</f>
        <v/>
      </c>
      <c r="F10" s="194" t="str">
        <f t="shared" si="0"/>
        <v/>
      </c>
      <c r="G10" s="73"/>
    </row>
    <row r="11" spans="1:10" ht="14.45" x14ac:dyDescent="0.3">
      <c r="A11" s="180" t="s">
        <v>230</v>
      </c>
      <c r="B11" s="182" t="s">
        <v>231</v>
      </c>
      <c r="C11" s="261" t="str">
        <f>IFERROR((VLOOKUP($B11,Presupuesto!$D$4:$E$51,2,FALSE)),"")</f>
        <v/>
      </c>
      <c r="D11" s="181" t="s">
        <v>206</v>
      </c>
      <c r="E11" s="262" t="str">
        <f>IFERROR((VLOOKUP($B11,Presupuesto!$D$4:$H$51,5,FALSE)),"")</f>
        <v/>
      </c>
      <c r="F11" s="194" t="str">
        <f t="shared" ref="F11:F43" si="1">IFERROR(D11*E11,"")</f>
        <v/>
      </c>
      <c r="G11" s="73"/>
    </row>
    <row r="12" spans="1:10" ht="14.45" x14ac:dyDescent="0.3">
      <c r="A12" s="180" t="s">
        <v>230</v>
      </c>
      <c r="B12" s="182" t="s">
        <v>231</v>
      </c>
      <c r="C12" s="261" t="str">
        <f>IFERROR((VLOOKUP($B12,Presupuesto!$D$4:$E$51,2,FALSE)),"")</f>
        <v/>
      </c>
      <c r="D12" s="181" t="s">
        <v>206</v>
      </c>
      <c r="E12" s="262" t="str">
        <f>IFERROR((VLOOKUP($B12,Presupuesto!$D$4:$H$51,5,FALSE)),"")</f>
        <v/>
      </c>
      <c r="F12" s="194" t="str">
        <f t="shared" si="1"/>
        <v/>
      </c>
      <c r="G12" s="73"/>
    </row>
    <row r="13" spans="1:10" thickBot="1" x14ac:dyDescent="0.35">
      <c r="A13" s="180" t="s">
        <v>230</v>
      </c>
      <c r="B13" s="182" t="s">
        <v>231</v>
      </c>
      <c r="C13" s="261" t="str">
        <f>IFERROR((VLOOKUP($B13,Presupuesto!$D$4:$E$51,2,FALSE)),"")</f>
        <v/>
      </c>
      <c r="D13" s="181" t="s">
        <v>206</v>
      </c>
      <c r="E13" s="262" t="str">
        <f>IFERROR((VLOOKUP($B13,Presupuesto!$D$4:$H$51,5,FALSE)),"")</f>
        <v/>
      </c>
      <c r="F13" s="194" t="str">
        <f t="shared" si="1"/>
        <v/>
      </c>
      <c r="G13" s="73"/>
    </row>
    <row r="14" spans="1:10" thickBot="1" x14ac:dyDescent="0.35">
      <c r="A14" s="180" t="s">
        <v>230</v>
      </c>
      <c r="B14" s="182" t="s">
        <v>231</v>
      </c>
      <c r="C14" s="261" t="str">
        <f>IFERROR((VLOOKUP($B14,Presupuesto!$D$4:$E$51,2,FALSE)),"")</f>
        <v/>
      </c>
      <c r="D14" s="181" t="s">
        <v>206</v>
      </c>
      <c r="E14" s="262" t="str">
        <f>IFERROR((VLOOKUP($B14,Presupuesto!$D$4:$H$51,5,FALSE)),"")</f>
        <v/>
      </c>
      <c r="F14" s="194" t="str">
        <f t="shared" si="1"/>
        <v/>
      </c>
      <c r="G14" s="73"/>
      <c r="H14" s="138" t="s">
        <v>113</v>
      </c>
      <c r="I14" s="167"/>
      <c r="J14" s="277">
        <f>SUM(F44,D50:D58)</f>
        <v>0</v>
      </c>
    </row>
    <row r="15" spans="1:10" thickBot="1" x14ac:dyDescent="0.35">
      <c r="A15" s="180" t="s">
        <v>230</v>
      </c>
      <c r="B15" s="182" t="s">
        <v>231</v>
      </c>
      <c r="C15" s="261" t="str">
        <f>IFERROR((VLOOKUP($B15,Presupuesto!$D$4:$E$51,2,FALSE)),"")</f>
        <v/>
      </c>
      <c r="D15" s="181" t="s">
        <v>206</v>
      </c>
      <c r="E15" s="262" t="str">
        <f>IFERROR((VLOOKUP($B15,Presupuesto!$D$4:$H$51,5,FALSE)),"")</f>
        <v/>
      </c>
      <c r="F15" s="194" t="str">
        <f t="shared" si="1"/>
        <v/>
      </c>
      <c r="G15" s="73"/>
      <c r="H15" s="138" t="s">
        <v>207</v>
      </c>
      <c r="I15" s="169"/>
      <c r="J15" s="168">
        <f>J14</f>
        <v>0</v>
      </c>
    </row>
    <row r="16" spans="1:10" ht="14.45" x14ac:dyDescent="0.3">
      <c r="A16" s="180" t="s">
        <v>230</v>
      </c>
      <c r="B16" s="182" t="s">
        <v>231</v>
      </c>
      <c r="C16" s="261" t="str">
        <f>IFERROR((VLOOKUP($B16,Presupuesto!$D$4:$E$51,2,FALSE)),"")</f>
        <v/>
      </c>
      <c r="D16" s="181" t="s">
        <v>206</v>
      </c>
      <c r="E16" s="262" t="str">
        <f>IFERROR((VLOOKUP($B16,Presupuesto!$D$4:$H$51,5,FALSE)),"")</f>
        <v/>
      </c>
      <c r="F16" s="194" t="str">
        <f t="shared" si="1"/>
        <v/>
      </c>
      <c r="G16" s="73"/>
      <c r="H16" s="212" t="s">
        <v>208</v>
      </c>
      <c r="I16" s="170" t="s">
        <v>209</v>
      </c>
      <c r="J16" s="249">
        <f>J15*0.15</f>
        <v>0</v>
      </c>
    </row>
    <row r="17" spans="1:11" thickBot="1" x14ac:dyDescent="0.35">
      <c r="A17" s="180" t="s">
        <v>230</v>
      </c>
      <c r="B17" s="182" t="s">
        <v>231</v>
      </c>
      <c r="C17" s="261" t="str">
        <f>IFERROR((VLOOKUP($B17,Presupuesto!$D$4:$E$51,2,FALSE)),"")</f>
        <v/>
      </c>
      <c r="D17" s="181" t="s">
        <v>206</v>
      </c>
      <c r="E17" s="262" t="str">
        <f>IFERROR((VLOOKUP($B17,Presupuesto!$D$4:$H$51,5,FALSE)),"")</f>
        <v/>
      </c>
      <c r="F17" s="194" t="str">
        <f t="shared" si="1"/>
        <v/>
      </c>
      <c r="H17" s="250" t="s">
        <v>210</v>
      </c>
      <c r="I17" s="172" t="s">
        <v>211</v>
      </c>
      <c r="J17" s="251">
        <f>J15*0.02</f>
        <v>0</v>
      </c>
    </row>
    <row r="18" spans="1:11" thickBot="1" x14ac:dyDescent="0.35">
      <c r="A18" s="180" t="s">
        <v>230</v>
      </c>
      <c r="B18" s="182" t="s">
        <v>231</v>
      </c>
      <c r="C18" s="261" t="str">
        <f>IFERROR((VLOOKUP($B18,Presupuesto!$D$4:$E$51,2,FALSE)),"")</f>
        <v/>
      </c>
      <c r="D18" s="181" t="s">
        <v>206</v>
      </c>
      <c r="E18" s="262" t="str">
        <f>IFERROR((VLOOKUP($B18,Presupuesto!$D$4:$H$51,5,FALSE)),"")</f>
        <v/>
      </c>
      <c r="F18" s="194" t="str">
        <f t="shared" si="1"/>
        <v/>
      </c>
      <c r="H18" s="138" t="s">
        <v>212</v>
      </c>
      <c r="I18" s="169" t="s">
        <v>213</v>
      </c>
      <c r="J18" s="168">
        <f>J15+J16</f>
        <v>0</v>
      </c>
    </row>
    <row r="19" spans="1:11" thickBot="1" x14ac:dyDescent="0.35">
      <c r="A19" s="180" t="s">
        <v>230</v>
      </c>
      <c r="B19" s="182" t="s">
        <v>231</v>
      </c>
      <c r="C19" s="261" t="str">
        <f>IFERROR((VLOOKUP($B19,Presupuesto!$D$4:$E$51,2,FALSE)),"")</f>
        <v/>
      </c>
      <c r="D19" s="181" t="s">
        <v>206</v>
      </c>
      <c r="E19" s="262" t="str">
        <f>IFERROR((VLOOKUP($B19,Presupuesto!$D$4:$H$51,5,FALSE)),"")</f>
        <v/>
      </c>
      <c r="F19" s="194" t="str">
        <f t="shared" si="1"/>
        <v/>
      </c>
      <c r="H19" s="252" t="s">
        <v>214</v>
      </c>
      <c r="I19" s="173" t="s">
        <v>215</v>
      </c>
      <c r="J19" s="253">
        <f>J18*0.1</f>
        <v>0</v>
      </c>
    </row>
    <row r="20" spans="1:11" thickBot="1" x14ac:dyDescent="0.35">
      <c r="A20" s="180" t="s">
        <v>230</v>
      </c>
      <c r="B20" s="182" t="s">
        <v>231</v>
      </c>
      <c r="C20" s="261" t="str">
        <f>IFERROR((VLOOKUP($B20,Presupuesto!$D$4:$E$51,2,FALSE)),"")</f>
        <v/>
      </c>
      <c r="D20" s="181" t="s">
        <v>206</v>
      </c>
      <c r="E20" s="262" t="str">
        <f>IFERROR((VLOOKUP($B20,Presupuesto!$D$4:$H$51,5,FALSE)),"")</f>
        <v/>
      </c>
      <c r="F20" s="194" t="str">
        <f t="shared" si="1"/>
        <v/>
      </c>
      <c r="H20" s="138" t="s">
        <v>216</v>
      </c>
      <c r="I20" s="169" t="s">
        <v>217</v>
      </c>
      <c r="J20" s="168">
        <f>J18+J19+J17</f>
        <v>0</v>
      </c>
    </row>
    <row r="21" spans="1:11" thickBot="1" x14ac:dyDescent="0.35">
      <c r="A21" s="180" t="s">
        <v>230</v>
      </c>
      <c r="B21" s="182" t="s">
        <v>231</v>
      </c>
      <c r="C21" s="261" t="str">
        <f>IFERROR((VLOOKUP($B21,Presupuesto!$D$4:$E$51,2,FALSE)),"")</f>
        <v/>
      </c>
      <c r="D21" s="181" t="s">
        <v>206</v>
      </c>
      <c r="E21" s="262" t="str">
        <f>IFERROR((VLOOKUP($B21,Presupuesto!$D$4:$H$51,5,FALSE)),"")</f>
        <v/>
      </c>
      <c r="F21" s="194" t="str">
        <f t="shared" si="1"/>
        <v/>
      </c>
      <c r="H21" s="138" t="s">
        <v>218</v>
      </c>
      <c r="I21" s="169" t="s">
        <v>219</v>
      </c>
      <c r="J21" s="168">
        <f>J20*0.245</f>
        <v>0</v>
      </c>
    </row>
    <row r="22" spans="1:11" x14ac:dyDescent="0.25">
      <c r="A22" s="180" t="s">
        <v>230</v>
      </c>
      <c r="B22" s="182" t="s">
        <v>231</v>
      </c>
      <c r="C22" s="261" t="str">
        <f>IFERROR((VLOOKUP($B22,Presupuesto!$D$4:$E$51,2,FALSE)),"")</f>
        <v/>
      </c>
      <c r="D22" s="181" t="s">
        <v>206</v>
      </c>
      <c r="E22" s="262" t="str">
        <f>IFERROR((VLOOKUP($B22,Presupuesto!$D$4:$H$51,5,FALSE)),"")</f>
        <v/>
      </c>
      <c r="F22" s="194" t="str">
        <f t="shared" si="1"/>
        <v/>
      </c>
      <c r="G22" s="278"/>
      <c r="H22" s="279"/>
      <c r="I22" s="279"/>
      <c r="J22" s="279"/>
      <c r="K22" s="279"/>
    </row>
    <row r="23" spans="1:11" ht="15.75" thickBot="1" x14ac:dyDescent="0.3">
      <c r="A23" s="180" t="s">
        <v>230</v>
      </c>
      <c r="B23" s="182" t="s">
        <v>231</v>
      </c>
      <c r="C23" s="261" t="str">
        <f>IFERROR((VLOOKUP($B23,Presupuesto!$D$4:$E$51,2,FALSE)),"")</f>
        <v/>
      </c>
      <c r="D23" s="181" t="s">
        <v>206</v>
      </c>
      <c r="E23" s="262" t="str">
        <f>IFERROR((VLOOKUP($B23,Presupuesto!$D$4:$H$51,5,FALSE)),"")</f>
        <v/>
      </c>
      <c r="F23" s="194" t="str">
        <f t="shared" si="1"/>
        <v/>
      </c>
      <c r="G23" s="278"/>
      <c r="H23" s="279"/>
      <c r="I23" s="279"/>
      <c r="J23" s="279"/>
      <c r="K23" s="279"/>
    </row>
    <row r="24" spans="1:11" x14ac:dyDescent="0.25">
      <c r="A24" s="180" t="s">
        <v>230</v>
      </c>
      <c r="B24" s="182" t="s">
        <v>231</v>
      </c>
      <c r="C24" s="261" t="str">
        <f>IFERROR((VLOOKUP($B24,Presupuesto!$D$4:$E$51,2,FALSE)),"")</f>
        <v/>
      </c>
      <c r="D24" s="181" t="s">
        <v>206</v>
      </c>
      <c r="E24" s="262" t="str">
        <f>IFERROR((VLOOKUP($B24,Presupuesto!$D$4:$H$51,5,FALSE)),"")</f>
        <v/>
      </c>
      <c r="F24" s="194" t="str">
        <f t="shared" si="1"/>
        <v/>
      </c>
      <c r="H24" s="280" t="s">
        <v>220</v>
      </c>
      <c r="I24" s="283" t="s">
        <v>221</v>
      </c>
      <c r="J24" s="286">
        <f>J20+J21</f>
        <v>0</v>
      </c>
    </row>
    <row r="25" spans="1:11" x14ac:dyDescent="0.25">
      <c r="A25" s="180" t="s">
        <v>230</v>
      </c>
      <c r="B25" s="182" t="s">
        <v>231</v>
      </c>
      <c r="C25" s="261" t="str">
        <f>IFERROR((VLOOKUP($B25,Presupuesto!$D$4:$E$51,2,FALSE)),"")</f>
        <v/>
      </c>
      <c r="D25" s="181" t="s">
        <v>206</v>
      </c>
      <c r="E25" s="262" t="str">
        <f>IFERROR((VLOOKUP($B25,Presupuesto!$D$4:$H$51,5,FALSE)),"")</f>
        <v/>
      </c>
      <c r="F25" s="194" t="str">
        <f t="shared" si="1"/>
        <v/>
      </c>
      <c r="H25" s="281"/>
      <c r="I25" s="284"/>
      <c r="J25" s="287"/>
    </row>
    <row r="26" spans="1:11" ht="15.75" thickBot="1" x14ac:dyDescent="0.3">
      <c r="A26" s="180" t="s">
        <v>230</v>
      </c>
      <c r="B26" s="182" t="s">
        <v>231</v>
      </c>
      <c r="C26" s="261" t="str">
        <f>IFERROR((VLOOKUP($B26,Presupuesto!$D$4:$E$51,2,FALSE)),"")</f>
        <v/>
      </c>
      <c r="D26" s="181" t="s">
        <v>206</v>
      </c>
      <c r="E26" s="262" t="str">
        <f>IFERROR((VLOOKUP($B26,Presupuesto!$D$4:$H$51,5,FALSE)),"")</f>
        <v/>
      </c>
      <c r="F26" s="194" t="str">
        <f t="shared" si="1"/>
        <v/>
      </c>
      <c r="H26" s="282"/>
      <c r="I26" s="285"/>
      <c r="J26" s="288"/>
    </row>
    <row r="27" spans="1:11" ht="14.45" x14ac:dyDescent="0.3">
      <c r="A27" s="180" t="s">
        <v>230</v>
      </c>
      <c r="B27" s="182" t="s">
        <v>231</v>
      </c>
      <c r="C27" s="261" t="str">
        <f>IFERROR((VLOOKUP($B27,Presupuesto!$D$4:$E$51,2,FALSE)),"")</f>
        <v/>
      </c>
      <c r="D27" s="181" t="s">
        <v>206</v>
      </c>
      <c r="E27" s="262" t="str">
        <f>IFERROR((VLOOKUP($B27,Presupuesto!$D$4:$H$51,5,FALSE)),"")</f>
        <v/>
      </c>
      <c r="F27" s="194" t="str">
        <f t="shared" si="1"/>
        <v/>
      </c>
    </row>
    <row r="28" spans="1:11" ht="14.45" x14ac:dyDescent="0.3">
      <c r="A28" s="180" t="s">
        <v>230</v>
      </c>
      <c r="B28" s="182" t="s">
        <v>231</v>
      </c>
      <c r="C28" s="261" t="str">
        <f>IFERROR((VLOOKUP($B28,Presupuesto!$D$4:$E$51,2,FALSE)),"")</f>
        <v/>
      </c>
      <c r="D28" s="181" t="s">
        <v>206</v>
      </c>
      <c r="E28" s="262" t="str">
        <f>IFERROR((VLOOKUP($B28,Presupuesto!$D$4:$H$51,5,FALSE)),"")</f>
        <v/>
      </c>
      <c r="F28" s="194" t="str">
        <f t="shared" si="1"/>
        <v/>
      </c>
    </row>
    <row r="29" spans="1:11" x14ac:dyDescent="0.25">
      <c r="A29" s="180" t="s">
        <v>230</v>
      </c>
      <c r="B29" s="182" t="s">
        <v>231</v>
      </c>
      <c r="C29" s="261" t="str">
        <f>IFERROR((VLOOKUP($B29,Presupuesto!$D$4:$E$51,2,FALSE)),"")</f>
        <v/>
      </c>
      <c r="D29" s="181" t="s">
        <v>206</v>
      </c>
      <c r="E29" s="262" t="str">
        <f>IFERROR((VLOOKUP($B29,Presupuesto!$D$4:$H$51,5,FALSE)),"")</f>
        <v/>
      </c>
      <c r="F29" s="194" t="str">
        <f t="shared" si="1"/>
        <v/>
      </c>
    </row>
    <row r="30" spans="1:11" x14ac:dyDescent="0.25">
      <c r="A30" s="180" t="s">
        <v>230</v>
      </c>
      <c r="B30" s="182" t="s">
        <v>231</v>
      </c>
      <c r="C30" s="261" t="str">
        <f>IFERROR((VLOOKUP($B30,Presupuesto!$D$4:$E$51,2,FALSE)),"")</f>
        <v/>
      </c>
      <c r="D30" s="181" t="s">
        <v>206</v>
      </c>
      <c r="E30" s="262" t="str">
        <f>IFERROR((VLOOKUP($B30,Presupuesto!$D$4:$H$51,5,FALSE)),"")</f>
        <v/>
      </c>
      <c r="F30" s="194" t="str">
        <f t="shared" si="1"/>
        <v/>
      </c>
    </row>
    <row r="31" spans="1:11" x14ac:dyDescent="0.25">
      <c r="A31" s="180" t="s">
        <v>230</v>
      </c>
      <c r="B31" s="182" t="s">
        <v>231</v>
      </c>
      <c r="C31" s="261" t="str">
        <f>IFERROR((VLOOKUP($B31,Presupuesto!$D$4:$E$51,2,FALSE)),"")</f>
        <v/>
      </c>
      <c r="D31" s="181" t="s">
        <v>206</v>
      </c>
      <c r="E31" s="262" t="str">
        <f>IFERROR((VLOOKUP($B31,Presupuesto!$D$4:$H$51,5,FALSE)),"")</f>
        <v/>
      </c>
      <c r="F31" s="194" t="str">
        <f t="shared" si="1"/>
        <v/>
      </c>
    </row>
    <row r="32" spans="1:11" x14ac:dyDescent="0.25">
      <c r="A32" s="180" t="s">
        <v>230</v>
      </c>
      <c r="B32" s="182" t="s">
        <v>231</v>
      </c>
      <c r="C32" s="261" t="str">
        <f>IFERROR((VLOOKUP($B32,Presupuesto!$D$4:$E$51,2,FALSE)),"")</f>
        <v/>
      </c>
      <c r="D32" s="181" t="s">
        <v>206</v>
      </c>
      <c r="E32" s="262" t="str">
        <f>IFERROR((VLOOKUP($B32,Presupuesto!$D$4:$H$51,5,FALSE)),"")</f>
        <v/>
      </c>
      <c r="F32" s="194" t="str">
        <f t="shared" si="1"/>
        <v/>
      </c>
    </row>
    <row r="33" spans="1:6" x14ac:dyDescent="0.25">
      <c r="A33" s="180" t="s">
        <v>230</v>
      </c>
      <c r="B33" s="182" t="s">
        <v>231</v>
      </c>
      <c r="C33" s="261" t="str">
        <f>IFERROR((VLOOKUP($B33,Presupuesto!$D$4:$E$51,2,FALSE)),"")</f>
        <v/>
      </c>
      <c r="D33" s="181" t="s">
        <v>206</v>
      </c>
      <c r="E33" s="262" t="str">
        <f>IFERROR((VLOOKUP($B33,Presupuesto!$D$4:$H$51,5,FALSE)),"")</f>
        <v/>
      </c>
      <c r="F33" s="194" t="str">
        <f t="shared" si="1"/>
        <v/>
      </c>
    </row>
    <row r="34" spans="1:6" x14ac:dyDescent="0.25">
      <c r="A34" s="180" t="s">
        <v>230</v>
      </c>
      <c r="B34" s="182" t="s">
        <v>231</v>
      </c>
      <c r="C34" s="261" t="str">
        <f>IFERROR((VLOOKUP($B34,Presupuesto!$D$4:$E$51,2,FALSE)),"")</f>
        <v/>
      </c>
      <c r="D34" s="181" t="s">
        <v>206</v>
      </c>
      <c r="E34" s="262" t="str">
        <f>IFERROR((VLOOKUP($B34,Presupuesto!$D$4:$H$51,5,FALSE)),"")</f>
        <v/>
      </c>
      <c r="F34" s="194" t="str">
        <f t="shared" si="1"/>
        <v/>
      </c>
    </row>
    <row r="35" spans="1:6" x14ac:dyDescent="0.25">
      <c r="A35" s="180" t="s">
        <v>230</v>
      </c>
      <c r="B35" s="182" t="s">
        <v>231</v>
      </c>
      <c r="C35" s="261" t="str">
        <f>IFERROR((VLOOKUP($B35,Presupuesto!$D$4:$E$51,2,FALSE)),"")</f>
        <v/>
      </c>
      <c r="D35" s="181" t="s">
        <v>206</v>
      </c>
      <c r="E35" s="262" t="str">
        <f>IFERROR((VLOOKUP($B35,Presupuesto!$D$4:$H$51,5,FALSE)),"")</f>
        <v/>
      </c>
      <c r="F35" s="194" t="str">
        <f t="shared" si="1"/>
        <v/>
      </c>
    </row>
    <row r="36" spans="1:6" x14ac:dyDescent="0.25">
      <c r="A36" s="180" t="s">
        <v>230</v>
      </c>
      <c r="B36" s="182" t="s">
        <v>231</v>
      </c>
      <c r="C36" s="261" t="str">
        <f>IFERROR((VLOOKUP($B36,Presupuesto!$D$4:$E$51,2,FALSE)),"")</f>
        <v/>
      </c>
      <c r="D36" s="181" t="s">
        <v>206</v>
      </c>
      <c r="E36" s="262" t="str">
        <f>IFERROR((VLOOKUP($B36,Presupuesto!$D$4:$H$51,5,FALSE)),"")</f>
        <v/>
      </c>
      <c r="F36" s="194" t="str">
        <f t="shared" si="1"/>
        <v/>
      </c>
    </row>
    <row r="37" spans="1:6" x14ac:dyDescent="0.25">
      <c r="A37" s="180" t="s">
        <v>230</v>
      </c>
      <c r="B37" s="182" t="s">
        <v>231</v>
      </c>
      <c r="C37" s="261" t="str">
        <f>IFERROR((VLOOKUP($B37,Presupuesto!$D$4:$E$51,2,FALSE)),"")</f>
        <v/>
      </c>
      <c r="D37" s="181" t="s">
        <v>206</v>
      </c>
      <c r="E37" s="262" t="str">
        <f>IFERROR((VLOOKUP($B37,Presupuesto!$D$4:$H$51,5,FALSE)),"")</f>
        <v/>
      </c>
      <c r="F37" s="194" t="str">
        <f t="shared" si="1"/>
        <v/>
      </c>
    </row>
    <row r="38" spans="1:6" x14ac:dyDescent="0.25">
      <c r="A38" s="180" t="s">
        <v>230</v>
      </c>
      <c r="B38" s="182" t="s">
        <v>231</v>
      </c>
      <c r="C38" s="261" t="str">
        <f>IFERROR((VLOOKUP($B38,Presupuesto!$D$4:$E$51,2,FALSE)),"")</f>
        <v/>
      </c>
      <c r="D38" s="181" t="s">
        <v>206</v>
      </c>
      <c r="E38" s="262" t="str">
        <f>IFERROR((VLOOKUP($B38,Presupuesto!$D$4:$H$51,5,FALSE)),"")</f>
        <v/>
      </c>
      <c r="F38" s="194" t="str">
        <f t="shared" si="1"/>
        <v/>
      </c>
    </row>
    <row r="39" spans="1:6" x14ac:dyDescent="0.25">
      <c r="A39" s="180" t="s">
        <v>230</v>
      </c>
      <c r="B39" s="182" t="s">
        <v>231</v>
      </c>
      <c r="C39" s="261" t="str">
        <f>IFERROR((VLOOKUP($B39,Presupuesto!$D$4:$E$51,2,FALSE)),"")</f>
        <v/>
      </c>
      <c r="D39" s="181" t="s">
        <v>206</v>
      </c>
      <c r="E39" s="262" t="str">
        <f>IFERROR((VLOOKUP($B39,Presupuesto!$D$4:$H$51,5,FALSE)),"")</f>
        <v/>
      </c>
      <c r="F39" s="194" t="str">
        <f t="shared" si="1"/>
        <v/>
      </c>
    </row>
    <row r="40" spans="1:6" x14ac:dyDescent="0.25">
      <c r="A40" s="180" t="s">
        <v>230</v>
      </c>
      <c r="B40" s="182" t="s">
        <v>231</v>
      </c>
      <c r="C40" s="261" t="str">
        <f>IFERROR((VLOOKUP($B40,Presupuesto!$D$4:$E$51,2,FALSE)),"")</f>
        <v/>
      </c>
      <c r="D40" s="181" t="s">
        <v>206</v>
      </c>
      <c r="E40" s="262" t="str">
        <f>IFERROR((VLOOKUP($B40,Presupuesto!$D$4:$H$51,5,FALSE)),"")</f>
        <v/>
      </c>
      <c r="F40" s="194" t="str">
        <f t="shared" si="1"/>
        <v/>
      </c>
    </row>
    <row r="41" spans="1:6" x14ac:dyDescent="0.25">
      <c r="A41" s="180" t="s">
        <v>230</v>
      </c>
      <c r="B41" s="182" t="s">
        <v>231</v>
      </c>
      <c r="C41" s="261" t="str">
        <f>IFERROR((VLOOKUP($B41,Presupuesto!$D$4:$E$51,2,FALSE)),"")</f>
        <v/>
      </c>
      <c r="D41" s="181" t="s">
        <v>206</v>
      </c>
      <c r="E41" s="262" t="str">
        <f>IFERROR((VLOOKUP($B41,Presupuesto!$D$4:$H$51,5,FALSE)),"")</f>
        <v/>
      </c>
      <c r="F41" s="194" t="str">
        <f t="shared" si="1"/>
        <v/>
      </c>
    </row>
    <row r="42" spans="1:6" x14ac:dyDescent="0.25">
      <c r="A42" s="180" t="s">
        <v>230</v>
      </c>
      <c r="B42" s="182" t="s">
        <v>231</v>
      </c>
      <c r="C42" s="261" t="str">
        <f>IFERROR((VLOOKUP($B42,Presupuesto!$D$4:$E$51,2,FALSE)),"")</f>
        <v/>
      </c>
      <c r="D42" s="181" t="s">
        <v>206</v>
      </c>
      <c r="E42" s="262" t="str">
        <f>IFERROR((VLOOKUP($B42,Presupuesto!$D$4:$H$51,5,FALSE)),"")</f>
        <v/>
      </c>
      <c r="F42" s="194" t="str">
        <f t="shared" si="1"/>
        <v/>
      </c>
    </row>
    <row r="43" spans="1:6" ht="15.75" thickBot="1" x14ac:dyDescent="0.3">
      <c r="A43" s="171" t="s">
        <v>230</v>
      </c>
      <c r="B43" s="186" t="s">
        <v>231</v>
      </c>
      <c r="C43" s="261" t="str">
        <f>IFERROR((VLOOKUP($B43,Presupuesto!$D$4:$E$51,2,FALSE)),"")</f>
        <v/>
      </c>
      <c r="D43" s="185" t="s">
        <v>206</v>
      </c>
      <c r="E43" s="262" t="str">
        <f>IFERROR((VLOOKUP($B43,Presupuesto!$D$4:$H$51,5,FALSE)),"")</f>
        <v/>
      </c>
      <c r="F43" s="194" t="str">
        <f t="shared" si="1"/>
        <v/>
      </c>
    </row>
    <row r="44" spans="1:6" x14ac:dyDescent="0.25">
      <c r="A44" s="171" t="s">
        <v>222</v>
      </c>
      <c r="B44" s="186"/>
      <c r="C44" s="261" t="str">
        <f>IFERROR((VLOOKUP($B44,Presupuesto!$D$4:$E$51,2,FALSE)),"")</f>
        <v/>
      </c>
      <c r="D44" s="185"/>
      <c r="E44" s="262" t="str">
        <f>IFERROR((VLOOKUP($B44,Presupuesto!$D$4:$H$51,5,FALSE)),"")</f>
        <v/>
      </c>
      <c r="F44" s="195">
        <f>SUBTOTAL(109,F9:F43)</f>
        <v>0</v>
      </c>
    </row>
    <row r="48" spans="1:6" x14ac:dyDescent="0.25">
      <c r="A48" s="289" t="s">
        <v>275</v>
      </c>
      <c r="B48" s="289"/>
      <c r="C48" s="271"/>
      <c r="D48" s="272"/>
    </row>
    <row r="49" spans="1:4" ht="30" x14ac:dyDescent="0.25">
      <c r="A49" s="273" t="s">
        <v>224</v>
      </c>
      <c r="B49" s="273" t="s">
        <v>34</v>
      </c>
      <c r="C49" s="273" t="s">
        <v>276</v>
      </c>
      <c r="D49" s="273" t="s">
        <v>277</v>
      </c>
    </row>
    <row r="50" spans="1:4" x14ac:dyDescent="0.25">
      <c r="A50" s="274"/>
      <c r="B50" s="274"/>
      <c r="C50" s="274"/>
      <c r="D50" s="274">
        <f>IFERROR(C50*B50,"")</f>
        <v>0</v>
      </c>
    </row>
    <row r="51" spans="1:4" x14ac:dyDescent="0.25">
      <c r="A51" s="275"/>
      <c r="B51" s="275"/>
      <c r="C51" s="275"/>
      <c r="D51" s="275">
        <f t="shared" ref="D51:D58" si="2">IFERROR(C51*B51,"")</f>
        <v>0</v>
      </c>
    </row>
    <row r="52" spans="1:4" x14ac:dyDescent="0.25">
      <c r="A52" s="274"/>
      <c r="B52" s="274"/>
      <c r="C52" s="274"/>
      <c r="D52" s="274">
        <f t="shared" si="2"/>
        <v>0</v>
      </c>
    </row>
    <row r="53" spans="1:4" x14ac:dyDescent="0.25">
      <c r="A53" s="275"/>
      <c r="B53" s="275"/>
      <c r="C53" s="275"/>
      <c r="D53" s="275">
        <f t="shared" si="2"/>
        <v>0</v>
      </c>
    </row>
    <row r="54" spans="1:4" x14ac:dyDescent="0.25">
      <c r="A54" s="274"/>
      <c r="B54" s="274"/>
      <c r="C54" s="274"/>
      <c r="D54" s="274">
        <f t="shared" si="2"/>
        <v>0</v>
      </c>
    </row>
    <row r="55" spans="1:4" x14ac:dyDescent="0.25">
      <c r="A55" s="275"/>
      <c r="B55" s="275"/>
      <c r="C55" s="276"/>
      <c r="D55" s="275">
        <f t="shared" si="2"/>
        <v>0</v>
      </c>
    </row>
    <row r="56" spans="1:4" x14ac:dyDescent="0.25">
      <c r="A56" s="274"/>
      <c r="B56" s="274"/>
      <c r="C56" s="274"/>
      <c r="D56" s="274">
        <f t="shared" si="2"/>
        <v>0</v>
      </c>
    </row>
    <row r="57" spans="1:4" x14ac:dyDescent="0.25">
      <c r="A57" s="275"/>
      <c r="B57" s="275"/>
      <c r="C57" s="275"/>
      <c r="D57" s="275">
        <f t="shared" si="2"/>
        <v>0</v>
      </c>
    </row>
    <row r="58" spans="1:4" x14ac:dyDescent="0.25">
      <c r="A58" s="274"/>
      <c r="B58" s="274"/>
      <c r="C58" s="274"/>
      <c r="D58" s="274">
        <f t="shared" si="2"/>
        <v>0</v>
      </c>
    </row>
  </sheetData>
  <mergeCells count="5">
    <mergeCell ref="G22:K23"/>
    <mergeCell ref="H24:H26"/>
    <mergeCell ref="I24:I26"/>
    <mergeCell ref="J24:J26"/>
    <mergeCell ref="A48:B48"/>
  </mergeCells>
  <dataValidations xWindow="84" yWindow="402" count="1">
    <dataValidation type="list" allowBlank="1" showInputMessage="1" showErrorMessage="1" sqref="B9:B44" xr:uid="{00000000-0002-0000-0000-000000000000}">
      <formula1>INDIRECT(A9)</formula1>
    </dataValidation>
  </dataValidations>
  <pageMargins left="0.7" right="0.7" top="0.75" bottom="0.75" header="0.3" footer="0.3"/>
  <pageSetup paperSize="9" orientation="portrait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84" yWindow="402" count="1">
        <x14:dataValidation type="list" allowBlank="1" showInputMessage="1" showErrorMessage="1" promptTitle="Rubro" prompt="Elegir un rubro" xr:uid="{00000000-0002-0000-0000-000001000000}">
          <x14:formula1>
            <xm:f>LISTA!$C$3:$I$3</xm:f>
          </x14:formula1>
          <xm:sqref>A9:A44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>
    <tabColor rgb="FF92D050"/>
  </sheetPr>
  <dimension ref="A1:H22"/>
  <sheetViews>
    <sheetView workbookViewId="0">
      <selection activeCell="E12" sqref="E12:F12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181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20</v>
      </c>
      <c r="D3" s="3"/>
      <c r="E3" s="306" t="s">
        <v>30</v>
      </c>
      <c r="F3" s="307"/>
      <c r="G3" s="76" t="s">
        <v>7</v>
      </c>
      <c r="H3" s="7"/>
    </row>
    <row r="4" spans="1:8" thickBot="1" x14ac:dyDescent="0.35">
      <c r="B4" s="8" t="s">
        <v>42</v>
      </c>
      <c r="C4" s="77">
        <v>0.15</v>
      </c>
      <c r="D4" s="3" t="s">
        <v>43</v>
      </c>
      <c r="E4" s="306"/>
      <c r="F4" s="307"/>
      <c r="G4" s="79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thickBot="1" x14ac:dyDescent="0.35">
      <c r="A7" s="138" t="str">
        <f>"016"</f>
        <v>016</v>
      </c>
      <c r="B7" s="156" t="str">
        <f>VLOOKUP(A7,MAT!A:H,2,0)</f>
        <v>Suelo seleccionado</v>
      </c>
      <c r="C7" s="157" t="str">
        <f>VLOOKUP(A7,MAT!A:H,3,0)</f>
        <v>m3</v>
      </c>
      <c r="D7" s="158">
        <f>C4</f>
        <v>0.15</v>
      </c>
      <c r="E7" s="159">
        <f>VLOOKUP(A7,MAT!A:H,8,0)</f>
        <v>3899.46</v>
      </c>
      <c r="F7" s="160">
        <f>+D7*E7</f>
        <v>584.91899999999998</v>
      </c>
      <c r="G7" s="7"/>
      <c r="H7" s="7"/>
    </row>
    <row r="8" spans="1:8" ht="15" customHeight="1" thickBot="1" x14ac:dyDescent="0.35">
      <c r="B8" s="17"/>
      <c r="C8" s="17"/>
      <c r="D8" s="18"/>
      <c r="E8" s="298" t="s">
        <v>36</v>
      </c>
      <c r="F8" s="299"/>
      <c r="G8" s="19">
        <f>+SUM(F7:F7)</f>
        <v>584.91899999999998</v>
      </c>
      <c r="H8" s="11" t="s">
        <v>37</v>
      </c>
    </row>
    <row r="9" spans="1:8" thickBot="1" x14ac:dyDescent="0.35">
      <c r="B9" s="12"/>
      <c r="C9" s="12"/>
      <c r="D9" s="12"/>
      <c r="E9" s="20"/>
      <c r="F9" s="20"/>
      <c r="G9" s="17"/>
      <c r="H9" s="7"/>
    </row>
    <row r="10" spans="1:8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8" thickBot="1" x14ac:dyDescent="0.35">
      <c r="A11" s="138" t="str">
        <f>"016"</f>
        <v>016</v>
      </c>
      <c r="B11" s="156" t="str">
        <f>VLOOKUP(A11,TRANS!A:H,2,0)</f>
        <v>Suelo seleccionado</v>
      </c>
      <c r="C11" s="157" t="str">
        <f>VLOOKUP(A11,TRANS!A:J,3,0)</f>
        <v>m3</v>
      </c>
      <c r="D11" s="158">
        <f>D7</f>
        <v>0.15</v>
      </c>
      <c r="E11" s="141">
        <f>VLOOKUP(A11,TRANS!A:J,5,0)</f>
        <v>20</v>
      </c>
      <c r="F11" s="160">
        <f>E11*D11</f>
        <v>3</v>
      </c>
      <c r="G11" s="7"/>
      <c r="H11" s="7"/>
    </row>
    <row r="12" spans="1:8" ht="15" customHeight="1" thickBot="1" x14ac:dyDescent="0.35">
      <c r="B12" s="17"/>
      <c r="C12" s="17"/>
      <c r="D12" s="24"/>
      <c r="E12" s="298" t="s">
        <v>64</v>
      </c>
      <c r="F12" s="308"/>
      <c r="G12" s="19">
        <f>+SUM(F11:F11)</f>
        <v>3</v>
      </c>
      <c r="H12" s="7" t="s">
        <v>37</v>
      </c>
    </row>
    <row r="13" spans="1:8" thickBot="1" x14ac:dyDescent="0.35">
      <c r="B13" s="13"/>
      <c r="C13" s="13"/>
      <c r="D13" s="13"/>
      <c r="E13" s="17"/>
      <c r="F13" s="17"/>
      <c r="G13" s="17"/>
      <c r="H13" s="7"/>
    </row>
    <row r="14" spans="1:8" ht="29.45" thickBot="1" x14ac:dyDescent="0.35">
      <c r="A14" s="74" t="s">
        <v>63</v>
      </c>
      <c r="B14" s="30" t="s">
        <v>39</v>
      </c>
      <c r="C14" s="31"/>
      <c r="D14" s="31"/>
      <c r="E14" s="31"/>
      <c r="F14" s="16" t="s">
        <v>35</v>
      </c>
      <c r="G14" s="7"/>
      <c r="H14" s="7"/>
    </row>
    <row r="15" spans="1:8" thickBot="1" x14ac:dyDescent="0.35">
      <c r="A15" s="138"/>
      <c r="B15" s="145" t="s">
        <v>113</v>
      </c>
      <c r="C15" s="140"/>
      <c r="D15" s="140"/>
      <c r="E15" s="146"/>
      <c r="F15" s="147">
        <f>3236.11*C4</f>
        <v>485.41649999999998</v>
      </c>
      <c r="G15" s="7"/>
      <c r="H15" s="7"/>
    </row>
    <row r="16" spans="1:8" ht="15" customHeight="1" thickBot="1" x14ac:dyDescent="0.35">
      <c r="B16" s="17"/>
      <c r="C16" s="17"/>
      <c r="D16" s="18"/>
      <c r="E16" s="298" t="s">
        <v>65</v>
      </c>
      <c r="F16" s="299"/>
      <c r="G16" s="19">
        <f>+SUM(F15:F15)</f>
        <v>485.41649999999998</v>
      </c>
      <c r="H16" s="7" t="s">
        <v>37</v>
      </c>
    </row>
    <row r="17" spans="1:8" thickBot="1" x14ac:dyDescent="0.35">
      <c r="B17" s="7"/>
      <c r="C17" s="7"/>
      <c r="D17" s="7"/>
      <c r="E17" s="7"/>
      <c r="F17" s="7"/>
      <c r="G17" s="7"/>
      <c r="H17" s="7"/>
    </row>
    <row r="18" spans="1:8" ht="29.45" thickBot="1" x14ac:dyDescent="0.35">
      <c r="A18" s="74" t="s">
        <v>63</v>
      </c>
      <c r="B18" s="30" t="s">
        <v>184</v>
      </c>
      <c r="C18" s="31"/>
      <c r="D18" s="31"/>
      <c r="E18" s="31"/>
      <c r="F18" s="16" t="s">
        <v>35</v>
      </c>
      <c r="G18" s="7"/>
      <c r="H18" s="7"/>
    </row>
    <row r="19" spans="1:8" thickBot="1" x14ac:dyDescent="0.35">
      <c r="A19" s="138"/>
      <c r="B19" s="145" t="s">
        <v>113</v>
      </c>
      <c r="C19" s="140"/>
      <c r="D19" s="140"/>
      <c r="E19" s="146"/>
      <c r="F19" s="147">
        <f>700*C4</f>
        <v>105</v>
      </c>
      <c r="G19" s="7"/>
      <c r="H19" s="7"/>
    </row>
    <row r="20" spans="1:8" ht="15" customHeight="1" thickBot="1" x14ac:dyDescent="0.3">
      <c r="B20" s="17"/>
      <c r="C20" s="17"/>
      <c r="D20" s="18"/>
      <c r="E20" s="298" t="s">
        <v>192</v>
      </c>
      <c r="F20" s="299"/>
      <c r="G20" s="19">
        <f>+SUM(F19:F19)</f>
        <v>105</v>
      </c>
      <c r="H20" s="7" t="s">
        <v>37</v>
      </c>
    </row>
    <row r="21" spans="1:8" ht="15.75" thickBot="1" x14ac:dyDescent="0.3">
      <c r="B21" s="26"/>
      <c r="C21" s="26"/>
      <c r="D21" s="26"/>
      <c r="E21" s="83"/>
      <c r="F21" s="84"/>
      <c r="G21" s="19"/>
      <c r="H21" s="7"/>
    </row>
    <row r="22" spans="1:8" ht="15.75" thickBot="1" x14ac:dyDescent="0.3">
      <c r="E22" s="300" t="s">
        <v>66</v>
      </c>
      <c r="F22" s="301"/>
      <c r="G22" s="78">
        <f>+G16+G12+G8+G20</f>
        <v>1178.3354999999999</v>
      </c>
      <c r="H22" s="7" t="s">
        <v>37</v>
      </c>
    </row>
  </sheetData>
  <mergeCells count="9">
    <mergeCell ref="E22:F22"/>
    <mergeCell ref="E20:F20"/>
    <mergeCell ref="B1:C1"/>
    <mergeCell ref="C2:G2"/>
    <mergeCell ref="E3:F3"/>
    <mergeCell ref="E4:F4"/>
    <mergeCell ref="E8:F8"/>
    <mergeCell ref="E12:F12"/>
    <mergeCell ref="E16:F16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tabColor rgb="FF92D050"/>
  </sheetPr>
  <dimension ref="A1:H22"/>
  <sheetViews>
    <sheetView workbookViewId="0">
      <selection activeCell="E12" sqref="E12:F12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179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21</v>
      </c>
      <c r="D3" s="3"/>
      <c r="E3" s="306" t="s">
        <v>30</v>
      </c>
      <c r="F3" s="307"/>
      <c r="G3" s="76" t="s">
        <v>7</v>
      </c>
      <c r="H3" s="7"/>
    </row>
    <row r="4" spans="1:8" thickBot="1" x14ac:dyDescent="0.35">
      <c r="B4" s="8" t="s">
        <v>42</v>
      </c>
      <c r="C4" s="77">
        <v>0.2</v>
      </c>
      <c r="D4" s="3" t="s">
        <v>43</v>
      </c>
      <c r="E4" s="306"/>
      <c r="F4" s="307"/>
      <c r="G4" s="79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thickBot="1" x14ac:dyDescent="0.35">
      <c r="A7" s="138" t="str">
        <f>"016"</f>
        <v>016</v>
      </c>
      <c r="B7" s="156" t="str">
        <f>VLOOKUP(A7,MAT!A:H,2,0)</f>
        <v>Suelo seleccionado</v>
      </c>
      <c r="C7" s="157" t="str">
        <f>VLOOKUP(A7,MAT!A:H,3,0)</f>
        <v>m3</v>
      </c>
      <c r="D7" s="158">
        <f>C4</f>
        <v>0.2</v>
      </c>
      <c r="E7" s="159">
        <f>VLOOKUP(A7,MAT!A:H,8,0)</f>
        <v>3899.46</v>
      </c>
      <c r="F7" s="160">
        <f>+D7*E7</f>
        <v>779.89200000000005</v>
      </c>
      <c r="G7" s="7"/>
      <c r="H7" s="7"/>
    </row>
    <row r="8" spans="1:8" thickBot="1" x14ac:dyDescent="0.35">
      <c r="B8" s="17"/>
      <c r="C8" s="17"/>
      <c r="D8" s="18"/>
      <c r="E8" s="298" t="s">
        <v>36</v>
      </c>
      <c r="F8" s="299"/>
      <c r="G8" s="19">
        <f>+SUM(F7:F7)</f>
        <v>779.89200000000005</v>
      </c>
      <c r="H8" s="11" t="s">
        <v>37</v>
      </c>
    </row>
    <row r="9" spans="1:8" thickBot="1" x14ac:dyDescent="0.35">
      <c r="B9" s="12"/>
      <c r="C9" s="12"/>
      <c r="D9" s="12"/>
      <c r="E9" s="20"/>
      <c r="F9" s="20"/>
      <c r="G9" s="17"/>
      <c r="H9" s="7"/>
    </row>
    <row r="10" spans="1:8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8" thickBot="1" x14ac:dyDescent="0.35">
      <c r="A11" s="138" t="str">
        <f>"016"</f>
        <v>016</v>
      </c>
      <c r="B11" s="156" t="str">
        <f>VLOOKUP(A11,TRANS!A:H,2,0)</f>
        <v>Suelo seleccionado</v>
      </c>
      <c r="C11" s="157" t="str">
        <f>VLOOKUP(A11,TRANS!A:J,3,0)</f>
        <v>m3</v>
      </c>
      <c r="D11" s="158">
        <f>D7</f>
        <v>0.2</v>
      </c>
      <c r="E11" s="141">
        <f>VLOOKUP(A11,TRANS!A:J,5,0)</f>
        <v>20</v>
      </c>
      <c r="F11" s="160">
        <f>E11*D11</f>
        <v>4</v>
      </c>
      <c r="G11" s="7"/>
      <c r="H11" s="7"/>
    </row>
    <row r="12" spans="1:8" thickBot="1" x14ac:dyDescent="0.35">
      <c r="B12" s="17"/>
      <c r="C12" s="17"/>
      <c r="D12" s="24"/>
      <c r="E12" s="298" t="s">
        <v>64</v>
      </c>
      <c r="F12" s="308"/>
      <c r="G12" s="19">
        <f>+SUM(F11:F11)</f>
        <v>4</v>
      </c>
      <c r="H12" s="7" t="s">
        <v>37</v>
      </c>
    </row>
    <row r="13" spans="1:8" thickBot="1" x14ac:dyDescent="0.35">
      <c r="B13" s="13"/>
      <c r="C13" s="13"/>
      <c r="D13" s="13"/>
      <c r="E13" s="17"/>
      <c r="F13" s="17"/>
      <c r="G13" s="17"/>
      <c r="H13" s="7"/>
    </row>
    <row r="14" spans="1:8" ht="29.45" thickBot="1" x14ac:dyDescent="0.35">
      <c r="A14" s="74" t="s">
        <v>63</v>
      </c>
      <c r="B14" s="30" t="s">
        <v>39</v>
      </c>
      <c r="C14" s="31"/>
      <c r="D14" s="31"/>
      <c r="E14" s="31"/>
      <c r="F14" s="16" t="s">
        <v>35</v>
      </c>
      <c r="G14" s="7"/>
      <c r="H14" s="7"/>
    </row>
    <row r="15" spans="1:8" thickBot="1" x14ac:dyDescent="0.35">
      <c r="A15" s="138"/>
      <c r="B15" s="145" t="s">
        <v>113</v>
      </c>
      <c r="C15" s="140"/>
      <c r="D15" s="140"/>
      <c r="E15" s="146"/>
      <c r="F15" s="147">
        <f>3236.11*C4</f>
        <v>647.22200000000009</v>
      </c>
      <c r="G15" s="7"/>
      <c r="H15" s="7"/>
    </row>
    <row r="16" spans="1:8" thickBot="1" x14ac:dyDescent="0.35">
      <c r="B16" s="17"/>
      <c r="C16" s="17"/>
      <c r="D16" s="18"/>
      <c r="E16" s="298" t="s">
        <v>65</v>
      </c>
      <c r="F16" s="299"/>
      <c r="G16" s="19">
        <f>+SUM(F15:F15)</f>
        <v>647.22200000000009</v>
      </c>
      <c r="H16" s="7" t="s">
        <v>37</v>
      </c>
    </row>
    <row r="17" spans="1:8" thickBot="1" x14ac:dyDescent="0.35">
      <c r="B17" s="7"/>
      <c r="C17" s="7"/>
      <c r="D17" s="7"/>
      <c r="E17" s="7"/>
      <c r="F17" s="7"/>
      <c r="G17" s="7"/>
      <c r="H17" s="7"/>
    </row>
    <row r="18" spans="1:8" ht="29.45" thickBot="1" x14ac:dyDescent="0.35">
      <c r="A18" s="74" t="s">
        <v>63</v>
      </c>
      <c r="B18" s="30" t="s">
        <v>184</v>
      </c>
      <c r="C18" s="31"/>
      <c r="D18" s="31"/>
      <c r="E18" s="31"/>
      <c r="F18" s="16" t="s">
        <v>35</v>
      </c>
      <c r="G18" s="7"/>
      <c r="H18" s="7"/>
    </row>
    <row r="19" spans="1:8" thickBot="1" x14ac:dyDescent="0.35">
      <c r="A19" s="138"/>
      <c r="B19" s="145" t="s">
        <v>113</v>
      </c>
      <c r="C19" s="140"/>
      <c r="D19" s="140"/>
      <c r="E19" s="146"/>
      <c r="F19" s="147">
        <f>700*C4</f>
        <v>140</v>
      </c>
      <c r="G19" s="7"/>
      <c r="H19" s="7"/>
    </row>
    <row r="20" spans="1:8" ht="15.75" thickBot="1" x14ac:dyDescent="0.3">
      <c r="B20" s="17"/>
      <c r="C20" s="17"/>
      <c r="D20" s="18"/>
      <c r="E20" s="298" t="s">
        <v>192</v>
      </c>
      <c r="F20" s="299"/>
      <c r="G20" s="19">
        <f>+SUM(F19:F19)</f>
        <v>140</v>
      </c>
      <c r="H20" s="7" t="s">
        <v>37</v>
      </c>
    </row>
    <row r="21" spans="1:8" ht="15.75" thickBot="1" x14ac:dyDescent="0.3">
      <c r="B21" s="26"/>
      <c r="C21" s="26"/>
      <c r="D21" s="26"/>
      <c r="E21" s="83"/>
      <c r="F21" s="84"/>
      <c r="G21" s="19"/>
      <c r="H21" s="7"/>
    </row>
    <row r="22" spans="1:8" ht="15.75" thickBot="1" x14ac:dyDescent="0.3">
      <c r="E22" s="300" t="s">
        <v>66</v>
      </c>
      <c r="F22" s="301"/>
      <c r="G22" s="78">
        <f>+G16+G12+G8+G20</f>
        <v>1571.114</v>
      </c>
      <c r="H22" s="7" t="s">
        <v>37</v>
      </c>
    </row>
  </sheetData>
  <mergeCells count="9">
    <mergeCell ref="E20:F20"/>
    <mergeCell ref="E16:F16"/>
    <mergeCell ref="E22:F22"/>
    <mergeCell ref="B1:C1"/>
    <mergeCell ref="C2:G2"/>
    <mergeCell ref="E3:F3"/>
    <mergeCell ref="E4:F4"/>
    <mergeCell ref="E8:F8"/>
    <mergeCell ref="E12:F12"/>
  </mergeCells>
  <pageMargins left="0.7" right="0.7" top="0.75" bottom="0.75" header="0.3" footer="0.3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>
    <tabColor rgb="FF92D050"/>
  </sheetPr>
  <dimension ref="A1:H21"/>
  <sheetViews>
    <sheetView workbookViewId="0">
      <selection activeCell="E11" sqref="E11:F11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180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22</v>
      </c>
      <c r="D3" s="3"/>
      <c r="E3" s="306" t="s">
        <v>30</v>
      </c>
      <c r="F3" s="307"/>
      <c r="G3" s="76" t="s">
        <v>7</v>
      </c>
      <c r="H3" s="7"/>
    </row>
    <row r="4" spans="1:8" ht="15.75" thickBot="1" x14ac:dyDescent="0.3">
      <c r="B4" s="8" t="s">
        <v>42</v>
      </c>
      <c r="C4" s="77">
        <v>0.3</v>
      </c>
      <c r="D4" s="3" t="s">
        <v>43</v>
      </c>
      <c r="E4" s="306" t="s">
        <v>31</v>
      </c>
      <c r="F4" s="307"/>
      <c r="G4" s="79"/>
      <c r="H4" s="11" t="s">
        <v>32</v>
      </c>
    </row>
    <row r="5" spans="1:8" ht="29.45" thickBot="1" x14ac:dyDescent="0.35">
      <c r="A5" s="74" t="s">
        <v>63</v>
      </c>
      <c r="B5" s="14" t="s">
        <v>62</v>
      </c>
      <c r="C5" s="15" t="s">
        <v>30</v>
      </c>
      <c r="D5" s="15" t="s">
        <v>33</v>
      </c>
      <c r="E5" s="15" t="s">
        <v>34</v>
      </c>
      <c r="F5" s="16" t="s">
        <v>35</v>
      </c>
      <c r="G5" s="7"/>
      <c r="H5" s="7"/>
    </row>
    <row r="6" spans="1:8" thickBot="1" x14ac:dyDescent="0.35">
      <c r="A6" s="138" t="str">
        <f>"016"</f>
        <v>016</v>
      </c>
      <c r="B6" s="156" t="str">
        <f>VLOOKUP(A6,MAT!A:H,2,0)</f>
        <v>Suelo seleccionado</v>
      </c>
      <c r="C6" s="157" t="str">
        <f>VLOOKUP(A6,MAT!A:H,3,0)</f>
        <v>m3</v>
      </c>
      <c r="D6" s="158">
        <f>C4</f>
        <v>0.3</v>
      </c>
      <c r="E6" s="159">
        <f>VLOOKUP(A6,MAT!A:H,8,0)</f>
        <v>3899.46</v>
      </c>
      <c r="F6" s="160">
        <f>+D6*E6</f>
        <v>1169.838</v>
      </c>
      <c r="G6" s="7"/>
      <c r="H6" s="7"/>
    </row>
    <row r="7" spans="1:8" ht="15" customHeight="1" thickBot="1" x14ac:dyDescent="0.35">
      <c r="B7" s="17"/>
      <c r="C7" s="17"/>
      <c r="D7" s="18"/>
      <c r="E7" s="298" t="s">
        <v>36</v>
      </c>
      <c r="F7" s="299"/>
      <c r="G7" s="19">
        <f>+SUM(F6:F6)</f>
        <v>1169.838</v>
      </c>
      <c r="H7" s="11" t="s">
        <v>37</v>
      </c>
    </row>
    <row r="8" spans="1:8" ht="15" customHeight="1" thickBot="1" x14ac:dyDescent="0.35">
      <c r="B8" s="12"/>
      <c r="C8" s="12"/>
      <c r="D8" s="12"/>
      <c r="E8" s="20"/>
      <c r="F8" s="20"/>
      <c r="G8" s="17"/>
      <c r="H8" s="7"/>
    </row>
    <row r="9" spans="1:8" ht="29.45" thickBot="1" x14ac:dyDescent="0.35">
      <c r="A9" s="74" t="s">
        <v>63</v>
      </c>
      <c r="B9" s="30" t="s">
        <v>38</v>
      </c>
      <c r="C9" s="31" t="str">
        <f>+C5</f>
        <v>UNIDAD</v>
      </c>
      <c r="D9" s="31" t="str">
        <f>+D5</f>
        <v>CUANTIA</v>
      </c>
      <c r="E9" s="31" t="str">
        <f>+E5</f>
        <v>PRECIO</v>
      </c>
      <c r="F9" s="125" t="str">
        <f>+F5</f>
        <v>COSTO TOTAL</v>
      </c>
      <c r="G9" s="7"/>
      <c r="H9" s="7"/>
    </row>
    <row r="10" spans="1:8" thickBot="1" x14ac:dyDescent="0.35">
      <c r="A10" s="138" t="str">
        <f>"016"</f>
        <v>016</v>
      </c>
      <c r="B10" s="156" t="str">
        <f>VLOOKUP(A10,TRANS!A:H,2,0)</f>
        <v>Suelo seleccionado</v>
      </c>
      <c r="C10" s="157" t="str">
        <f>VLOOKUP(A10,TRANS!A:J,3,0)</f>
        <v>m3</v>
      </c>
      <c r="D10" s="158">
        <f>D6</f>
        <v>0.3</v>
      </c>
      <c r="E10" s="141">
        <f>VLOOKUP(A10,TRANS!A:J,5,0)</f>
        <v>20</v>
      </c>
      <c r="F10" s="160">
        <f>E10*D10</f>
        <v>6</v>
      </c>
      <c r="G10" s="7"/>
      <c r="H10" s="7"/>
    </row>
    <row r="11" spans="1:8" ht="15" customHeight="1" thickBot="1" x14ac:dyDescent="0.35">
      <c r="B11" s="17"/>
      <c r="C11" s="17"/>
      <c r="D11" s="24"/>
      <c r="E11" s="298" t="s">
        <v>64</v>
      </c>
      <c r="F11" s="308"/>
      <c r="G11" s="19">
        <f>+SUM(F10:F10)</f>
        <v>6</v>
      </c>
      <c r="H11" s="7" t="s">
        <v>37</v>
      </c>
    </row>
    <row r="12" spans="1:8" thickBot="1" x14ac:dyDescent="0.35">
      <c r="B12" s="13"/>
      <c r="C12" s="13"/>
      <c r="D12" s="13"/>
      <c r="E12" s="17"/>
      <c r="F12" s="17"/>
      <c r="G12" s="17"/>
      <c r="H12" s="7"/>
    </row>
    <row r="13" spans="1:8" ht="29.45" thickBot="1" x14ac:dyDescent="0.35">
      <c r="A13" s="74" t="s">
        <v>63</v>
      </c>
      <c r="B13" s="30" t="s">
        <v>39</v>
      </c>
      <c r="C13" s="31"/>
      <c r="D13" s="31"/>
      <c r="E13" s="31"/>
      <c r="F13" s="16" t="s">
        <v>35</v>
      </c>
      <c r="G13" s="7"/>
      <c r="H13" s="7"/>
    </row>
    <row r="14" spans="1:8" ht="15" customHeight="1" thickBot="1" x14ac:dyDescent="0.35">
      <c r="A14" s="138"/>
      <c r="B14" s="145" t="s">
        <v>113</v>
      </c>
      <c r="C14" s="140"/>
      <c r="D14" s="140"/>
      <c r="E14" s="146"/>
      <c r="F14" s="147">
        <f>3236.11*C4</f>
        <v>970.83299999999997</v>
      </c>
      <c r="G14" s="7"/>
      <c r="H14" s="7"/>
    </row>
    <row r="15" spans="1:8" ht="15" customHeight="1" thickBot="1" x14ac:dyDescent="0.35">
      <c r="B15" s="17"/>
      <c r="C15" s="17"/>
      <c r="D15" s="18"/>
      <c r="E15" s="298" t="s">
        <v>65</v>
      </c>
      <c r="F15" s="299"/>
      <c r="G15" s="19">
        <f>+SUM(F14:F14)</f>
        <v>970.83299999999997</v>
      </c>
      <c r="H15" s="7" t="s">
        <v>37</v>
      </c>
    </row>
    <row r="16" spans="1:8" thickBot="1" x14ac:dyDescent="0.35">
      <c r="B16" s="7"/>
      <c r="C16" s="7"/>
      <c r="D16" s="7"/>
      <c r="E16" s="7"/>
      <c r="F16" s="7"/>
      <c r="G16" s="7"/>
      <c r="H16" s="7"/>
    </row>
    <row r="17" spans="1:8" ht="29.45" thickBot="1" x14ac:dyDescent="0.35">
      <c r="A17" s="41" t="s">
        <v>63</v>
      </c>
      <c r="B17" s="21" t="s">
        <v>184</v>
      </c>
      <c r="C17" s="22"/>
      <c r="D17" s="22"/>
      <c r="E17" s="22"/>
      <c r="F17" s="25" t="s">
        <v>35</v>
      </c>
      <c r="G17" s="7"/>
      <c r="H17" s="7"/>
    </row>
    <row r="18" spans="1:8" ht="15" customHeight="1" thickBot="1" x14ac:dyDescent="0.35">
      <c r="A18" s="40"/>
      <c r="B18" s="92" t="s">
        <v>113</v>
      </c>
      <c r="C18" s="93"/>
      <c r="D18" s="93"/>
      <c r="E18" s="94"/>
      <c r="F18" s="95">
        <f>700*C4</f>
        <v>210</v>
      </c>
      <c r="G18" s="7"/>
      <c r="H18" s="7"/>
    </row>
    <row r="19" spans="1:8" ht="15" customHeight="1" thickBot="1" x14ac:dyDescent="0.35">
      <c r="B19" s="17"/>
      <c r="C19" s="17"/>
      <c r="D19" s="18"/>
      <c r="E19" s="298" t="s">
        <v>192</v>
      </c>
      <c r="F19" s="299"/>
      <c r="G19" s="19">
        <f>+SUM(F18:F18)</f>
        <v>210</v>
      </c>
      <c r="H19" s="7" t="s">
        <v>37</v>
      </c>
    </row>
    <row r="20" spans="1:8" ht="15.75" thickBot="1" x14ac:dyDescent="0.3">
      <c r="B20" s="26"/>
      <c r="C20" s="26"/>
      <c r="D20" s="26"/>
      <c r="E20" s="83"/>
      <c r="F20" s="84"/>
      <c r="G20" s="19"/>
      <c r="H20" s="7"/>
    </row>
    <row r="21" spans="1:8" ht="15.75" thickBot="1" x14ac:dyDescent="0.3">
      <c r="E21" s="300" t="s">
        <v>66</v>
      </c>
      <c r="F21" s="301"/>
      <c r="G21" s="78">
        <f>+G15+G11+G7+G19</f>
        <v>2356.6709999999998</v>
      </c>
      <c r="H21" s="7" t="s">
        <v>37</v>
      </c>
    </row>
  </sheetData>
  <mergeCells count="9">
    <mergeCell ref="E21:F21"/>
    <mergeCell ref="B1:C1"/>
    <mergeCell ref="C2:G2"/>
    <mergeCell ref="E3:F3"/>
    <mergeCell ref="E4:F4"/>
    <mergeCell ref="E7:F7"/>
    <mergeCell ref="E11:F11"/>
    <mergeCell ref="E15:F15"/>
    <mergeCell ref="E19:F19"/>
  </mergeCells>
  <pageMargins left="0.7" right="0.7" top="0.75" bottom="0.75" header="0.3" footer="0.3"/>
  <pageSetup paperSize="9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tabColor rgb="FF92D050"/>
  </sheetPr>
  <dimension ref="A1:M20"/>
  <sheetViews>
    <sheetView workbookViewId="0">
      <selection activeCell="B18" sqref="B18"/>
    </sheetView>
  </sheetViews>
  <sheetFormatPr baseColWidth="10" defaultRowHeight="15" x14ac:dyDescent="0.25"/>
  <cols>
    <col min="2" max="2" width="36.28515625" bestFit="1" customWidth="1"/>
  </cols>
  <sheetData>
    <row r="1" spans="1:13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3" ht="16.5" thickBot="1" x14ac:dyDescent="0.3">
      <c r="B2" s="8" t="s">
        <v>28</v>
      </c>
      <c r="C2" s="304" t="s">
        <v>188</v>
      </c>
      <c r="D2" s="304"/>
      <c r="E2" s="304"/>
      <c r="F2" s="304"/>
      <c r="G2" s="305"/>
      <c r="H2" s="7"/>
    </row>
    <row r="3" spans="1:13" ht="15.75" thickBot="1" x14ac:dyDescent="0.3">
      <c r="B3" s="8" t="s">
        <v>112</v>
      </c>
      <c r="C3" s="9" t="s">
        <v>23</v>
      </c>
      <c r="D3" s="3"/>
      <c r="E3" s="306" t="s">
        <v>30</v>
      </c>
      <c r="F3" s="307"/>
      <c r="G3" s="76" t="s">
        <v>7</v>
      </c>
      <c r="H3" s="7"/>
    </row>
    <row r="4" spans="1:13" thickBot="1" x14ac:dyDescent="0.35">
      <c r="B4" s="8" t="s">
        <v>42</v>
      </c>
      <c r="C4" s="77">
        <v>0.1</v>
      </c>
      <c r="D4" s="3" t="s">
        <v>43</v>
      </c>
      <c r="E4" s="306"/>
      <c r="F4" s="307"/>
      <c r="G4" s="79"/>
      <c r="H4" s="11"/>
    </row>
    <row r="5" spans="1:13" thickBot="1" x14ac:dyDescent="0.35">
      <c r="B5" s="12"/>
      <c r="C5" s="12"/>
      <c r="D5" s="12"/>
      <c r="E5" s="12"/>
      <c r="F5" s="12"/>
      <c r="G5" s="13"/>
      <c r="H5" s="7"/>
    </row>
    <row r="6" spans="1:13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13" ht="14.45" x14ac:dyDescent="0.3">
      <c r="A7" s="111" t="str">
        <f>"012"</f>
        <v>012</v>
      </c>
      <c r="B7" s="130" t="str">
        <f>VLOOKUP(A7,MAT!A:H,2,0)</f>
        <v>Cal hidraulica hidratada, 65% CUV</v>
      </c>
      <c r="C7" s="131" t="str">
        <f>VLOOKUP(A7,MAT!A:H,3,0)</f>
        <v>tn</v>
      </c>
      <c r="D7" s="148">
        <f>K12</f>
        <v>8.7499999999999991E-3</v>
      </c>
      <c r="E7" s="115">
        <f>VLOOKUP(A7,MAT!A:H,8,0)</f>
        <v>37128</v>
      </c>
      <c r="F7" s="116">
        <f>+D7*E7</f>
        <v>324.86999999999995</v>
      </c>
      <c r="G7" s="7"/>
      <c r="H7" s="7"/>
    </row>
    <row r="8" spans="1:13" thickBot="1" x14ac:dyDescent="0.35">
      <c r="A8" s="119" t="str">
        <f>"016"</f>
        <v>016</v>
      </c>
      <c r="B8" s="135" t="str">
        <f>VLOOKUP(A8,MAT!A:H,2,0)</f>
        <v>Suelo seleccionado</v>
      </c>
      <c r="C8" s="136" t="str">
        <f>VLOOKUP(A8,MAT!A:H,3,0)</f>
        <v>m3</v>
      </c>
      <c r="D8" s="149">
        <f>C4*1.25</f>
        <v>0.125</v>
      </c>
      <c r="E8" s="123">
        <f>VLOOKUP(A8,MAT!A:H,8,0)</f>
        <v>3899.46</v>
      </c>
      <c r="F8" s="124">
        <f>+D8*E8</f>
        <v>487.4325</v>
      </c>
      <c r="G8" s="7"/>
      <c r="H8" s="7"/>
    </row>
    <row r="9" spans="1:13" thickBot="1" x14ac:dyDescent="0.35">
      <c r="B9" s="17"/>
      <c r="C9" s="17"/>
      <c r="D9" s="18"/>
      <c r="E9" s="298" t="s">
        <v>36</v>
      </c>
      <c r="F9" s="299"/>
      <c r="G9" s="19">
        <f>+SUM(F7:F8)</f>
        <v>812.30250000000001</v>
      </c>
      <c r="H9" s="11" t="s">
        <v>37</v>
      </c>
      <c r="K9">
        <v>1.4</v>
      </c>
      <c r="L9" t="s">
        <v>8</v>
      </c>
      <c r="M9" t="s">
        <v>4</v>
      </c>
    </row>
    <row r="10" spans="1:13" thickBot="1" x14ac:dyDescent="0.35">
      <c r="B10" s="12"/>
      <c r="C10" s="12"/>
      <c r="D10" s="12"/>
      <c r="E10" s="20"/>
      <c r="F10" s="20"/>
      <c r="G10" s="17"/>
      <c r="H10" s="7"/>
      <c r="K10">
        <f>M10*K9/1</f>
        <v>0.17499999999999999</v>
      </c>
      <c r="L10" t="s">
        <v>8</v>
      </c>
      <c r="M10" s="100">
        <f>D8</f>
        <v>0.125</v>
      </c>
    </row>
    <row r="11" spans="1:13" ht="29.45" thickBot="1" x14ac:dyDescent="0.35">
      <c r="A11" s="74" t="s">
        <v>63</v>
      </c>
      <c r="B11" s="30" t="s">
        <v>38</v>
      </c>
      <c r="C11" s="31" t="str">
        <f>+C6</f>
        <v>UNIDAD</v>
      </c>
      <c r="D11" s="31" t="str">
        <f>+D6</f>
        <v>CUANTIA</v>
      </c>
      <c r="E11" s="31" t="str">
        <f>+E6</f>
        <v>PRECIO</v>
      </c>
      <c r="F11" s="125" t="str">
        <f>+F6</f>
        <v>COSTO TOTAL</v>
      </c>
      <c r="G11" s="7"/>
      <c r="H11" s="7"/>
    </row>
    <row r="12" spans="1:13" thickBot="1" x14ac:dyDescent="0.35">
      <c r="A12" s="111" t="str">
        <f>"012"</f>
        <v>012</v>
      </c>
      <c r="B12" s="130" t="str">
        <f>VLOOKUP(A12,TRANS!A:H,2,0)</f>
        <v>Cal hidraulica hidratada, 65% CUV</v>
      </c>
      <c r="C12" s="131" t="str">
        <f>VLOOKUP(A12,TRANS!A:J,3,0)</f>
        <v>tn</v>
      </c>
      <c r="D12" s="148">
        <f>D7</f>
        <v>8.7499999999999991E-3</v>
      </c>
      <c r="E12" s="132">
        <f>VLOOKUP(A12,TRANS!A:J,5,0)</f>
        <v>350</v>
      </c>
      <c r="F12" s="116">
        <f>E12*D12</f>
        <v>3.0624999999999996</v>
      </c>
      <c r="G12" s="7"/>
      <c r="H12" s="7"/>
      <c r="K12">
        <f>5/100*K10</f>
        <v>8.7499999999999991E-3</v>
      </c>
      <c r="L12" t="s">
        <v>8</v>
      </c>
    </row>
    <row r="13" spans="1:13" thickBot="1" x14ac:dyDescent="0.35">
      <c r="A13" s="119" t="str">
        <f>"016"</f>
        <v>016</v>
      </c>
      <c r="B13" s="135" t="str">
        <f>VLOOKUP(A13,TRANS!A:H,2,0)</f>
        <v>Suelo seleccionado</v>
      </c>
      <c r="C13" s="136" t="str">
        <f>VLOOKUP(A13,TRANS!A:J,3,0)</f>
        <v>m3</v>
      </c>
      <c r="D13" s="148">
        <f>D8</f>
        <v>0.125</v>
      </c>
      <c r="E13" s="137">
        <f>VLOOKUP(A13,TRANS!A:J,5,0)</f>
        <v>20</v>
      </c>
      <c r="F13" s="124">
        <f>E13*D13</f>
        <v>2.5</v>
      </c>
      <c r="G13" s="7"/>
      <c r="H13" s="7"/>
    </row>
    <row r="14" spans="1:13" thickBot="1" x14ac:dyDescent="0.35">
      <c r="B14" s="17"/>
      <c r="C14" s="17"/>
      <c r="D14" s="24"/>
      <c r="E14" s="298" t="s">
        <v>64</v>
      </c>
      <c r="F14" s="308"/>
      <c r="G14" s="19">
        <f>+SUM(F12:F13)</f>
        <v>5.5625</v>
      </c>
      <c r="H14" s="7" t="s">
        <v>37</v>
      </c>
    </row>
    <row r="15" spans="1:13" thickBot="1" x14ac:dyDescent="0.35">
      <c r="B15" s="13"/>
      <c r="C15" s="13"/>
      <c r="D15" s="13"/>
      <c r="E15" s="17"/>
      <c r="F15" s="17"/>
      <c r="G15" s="17"/>
      <c r="H15" s="7"/>
    </row>
    <row r="16" spans="1:13" ht="29.45" thickBot="1" x14ac:dyDescent="0.35">
      <c r="A16" s="74" t="s">
        <v>63</v>
      </c>
      <c r="B16" s="30" t="s">
        <v>185</v>
      </c>
      <c r="C16" s="31"/>
      <c r="D16" s="31"/>
      <c r="E16" s="31"/>
      <c r="F16" s="16" t="s">
        <v>35</v>
      </c>
      <c r="G16" s="7"/>
      <c r="H16" s="7"/>
    </row>
    <row r="17" spans="1:8" thickBot="1" x14ac:dyDescent="0.35">
      <c r="A17" s="138"/>
      <c r="B17" s="145" t="s">
        <v>172</v>
      </c>
      <c r="C17" s="140"/>
      <c r="D17" s="140"/>
      <c r="E17" s="146"/>
      <c r="F17" s="147">
        <f>G9*0.4</f>
        <v>324.92100000000005</v>
      </c>
      <c r="G17" s="7"/>
      <c r="H17" s="7"/>
    </row>
    <row r="18" spans="1:8" thickBot="1" x14ac:dyDescent="0.35">
      <c r="B18" s="17"/>
      <c r="C18" s="17"/>
      <c r="D18" s="18"/>
      <c r="E18" s="298" t="s">
        <v>193</v>
      </c>
      <c r="F18" s="299"/>
      <c r="G18" s="19">
        <f>+SUM(F17:F17)</f>
        <v>324.92100000000005</v>
      </c>
      <c r="H18" s="7" t="s">
        <v>37</v>
      </c>
    </row>
    <row r="19" spans="1:8" thickBot="1" x14ac:dyDescent="0.35">
      <c r="B19" s="7"/>
      <c r="C19" s="7"/>
      <c r="D19" s="7"/>
      <c r="E19" s="7"/>
      <c r="F19" s="7"/>
      <c r="G19" s="7"/>
      <c r="H19" s="7"/>
    </row>
    <row r="20" spans="1:8" thickBot="1" x14ac:dyDescent="0.35">
      <c r="E20" s="300" t="s">
        <v>66</v>
      </c>
      <c r="F20" s="301"/>
      <c r="G20" s="78">
        <f>+G18+G14+G9</f>
        <v>1142.7860000000001</v>
      </c>
      <c r="H20" s="7" t="s">
        <v>37</v>
      </c>
    </row>
  </sheetData>
  <mergeCells count="8">
    <mergeCell ref="E18:F18"/>
    <mergeCell ref="E20:F20"/>
    <mergeCell ref="B1:C1"/>
    <mergeCell ref="C2:G2"/>
    <mergeCell ref="E3:F3"/>
    <mergeCell ref="E4:F4"/>
    <mergeCell ref="E9:F9"/>
    <mergeCell ref="E14:F14"/>
  </mergeCells>
  <pageMargins left="0.7" right="0.7" top="0.75" bottom="0.75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tabColor rgb="FF92D050"/>
  </sheetPr>
  <dimension ref="A1:M20"/>
  <sheetViews>
    <sheetView workbookViewId="0">
      <selection activeCell="E13" sqref="E13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  <col min="11" max="11" width="11.5703125" customWidth="1"/>
  </cols>
  <sheetData>
    <row r="1" spans="1:13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3" ht="16.5" thickBot="1" x14ac:dyDescent="0.3">
      <c r="B2" s="8" t="s">
        <v>28</v>
      </c>
      <c r="C2" s="304" t="s">
        <v>189</v>
      </c>
      <c r="D2" s="304"/>
      <c r="E2" s="304"/>
      <c r="F2" s="304"/>
      <c r="G2" s="305"/>
      <c r="H2" s="7"/>
    </row>
    <row r="3" spans="1:13" ht="15.75" thickBot="1" x14ac:dyDescent="0.3">
      <c r="B3" s="8" t="s">
        <v>112</v>
      </c>
      <c r="C3" s="9" t="s">
        <v>24</v>
      </c>
      <c r="D3" s="3"/>
      <c r="E3" s="306" t="s">
        <v>30</v>
      </c>
      <c r="F3" s="307"/>
      <c r="G3" s="76" t="s">
        <v>7</v>
      </c>
      <c r="H3" s="7"/>
    </row>
    <row r="4" spans="1:13" thickBot="1" x14ac:dyDescent="0.35">
      <c r="B4" s="8" t="s">
        <v>42</v>
      </c>
      <c r="C4" s="77">
        <v>0.15</v>
      </c>
      <c r="D4" s="3" t="s">
        <v>43</v>
      </c>
      <c r="E4" s="306"/>
      <c r="F4" s="307"/>
      <c r="G4" s="79"/>
      <c r="H4" s="11"/>
    </row>
    <row r="5" spans="1:13" thickBot="1" x14ac:dyDescent="0.35">
      <c r="B5" s="12"/>
      <c r="C5" s="12"/>
      <c r="D5" s="12"/>
      <c r="E5" s="12"/>
      <c r="F5" s="12"/>
      <c r="G5" s="13"/>
      <c r="H5" s="7"/>
    </row>
    <row r="6" spans="1:13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13" ht="14.45" x14ac:dyDescent="0.3">
      <c r="A7" s="111" t="str">
        <f>"012"</f>
        <v>012</v>
      </c>
      <c r="B7" s="130" t="str">
        <f>VLOOKUP(A7,MAT!A:H,2,0)</f>
        <v>Cal hidraulica hidratada, 65% CUV</v>
      </c>
      <c r="C7" s="131" t="str">
        <f>VLOOKUP(A7,MAT!A:H,3,0)</f>
        <v>tn</v>
      </c>
      <c r="D7" s="148">
        <f>K12</f>
        <v>1.3124999999999998E-2</v>
      </c>
      <c r="E7" s="115">
        <f>VLOOKUP(A7,MAT!A:H,8,0)</f>
        <v>37128</v>
      </c>
      <c r="F7" s="116">
        <f>+D7*E7</f>
        <v>487.30499999999989</v>
      </c>
      <c r="G7" s="7"/>
      <c r="H7" s="7"/>
    </row>
    <row r="8" spans="1:13" thickBot="1" x14ac:dyDescent="0.35">
      <c r="A8" s="119" t="str">
        <f>"016"</f>
        <v>016</v>
      </c>
      <c r="B8" s="135" t="str">
        <f>VLOOKUP(A8,MAT!A:H,2,0)</f>
        <v>Suelo seleccionado</v>
      </c>
      <c r="C8" s="136" t="str">
        <f>VLOOKUP(A8,MAT!A:H,3,0)</f>
        <v>m3</v>
      </c>
      <c r="D8" s="149">
        <f>1.25*C4</f>
        <v>0.1875</v>
      </c>
      <c r="E8" s="123">
        <f>VLOOKUP(A8,MAT!A:H,8,0)</f>
        <v>3899.46</v>
      </c>
      <c r="F8" s="124">
        <f>+D8*E8</f>
        <v>731.14875000000006</v>
      </c>
      <c r="G8" s="7"/>
      <c r="H8" s="7"/>
    </row>
    <row r="9" spans="1:13" thickBot="1" x14ac:dyDescent="0.35">
      <c r="B9" s="17"/>
      <c r="C9" s="17"/>
      <c r="D9" s="18"/>
      <c r="E9" s="298" t="s">
        <v>36</v>
      </c>
      <c r="F9" s="299"/>
      <c r="G9" s="19">
        <f>+SUM(F7:F8)</f>
        <v>1218.4537499999999</v>
      </c>
      <c r="H9" s="7" t="s">
        <v>37</v>
      </c>
      <c r="K9">
        <v>1.4</v>
      </c>
      <c r="L9" t="s">
        <v>8</v>
      </c>
      <c r="M9" t="s">
        <v>4</v>
      </c>
    </row>
    <row r="10" spans="1:13" thickBot="1" x14ac:dyDescent="0.35">
      <c r="B10" s="12"/>
      <c r="C10" s="12"/>
      <c r="D10" s="12"/>
      <c r="E10" s="20"/>
      <c r="F10" s="20"/>
      <c r="G10" s="17"/>
      <c r="H10" s="7"/>
      <c r="K10">
        <f>M10*K9/1</f>
        <v>0.26249999999999996</v>
      </c>
      <c r="L10" t="s">
        <v>8</v>
      </c>
      <c r="M10" s="100">
        <f>D8</f>
        <v>0.1875</v>
      </c>
    </row>
    <row r="11" spans="1:13" ht="29.45" thickBot="1" x14ac:dyDescent="0.35">
      <c r="A11" s="74" t="s">
        <v>63</v>
      </c>
      <c r="B11" s="30" t="s">
        <v>38</v>
      </c>
      <c r="C11" s="31" t="str">
        <f>+C6</f>
        <v>UNIDAD</v>
      </c>
      <c r="D11" s="31" t="str">
        <f>+D6</f>
        <v>CUANTIA</v>
      </c>
      <c r="E11" s="31" t="str">
        <f>+E6</f>
        <v>PRECIO</v>
      </c>
      <c r="F11" s="125" t="str">
        <f>+F6</f>
        <v>COSTO TOTAL</v>
      </c>
      <c r="G11" s="7"/>
      <c r="H11" s="7"/>
    </row>
    <row r="12" spans="1:13" thickBot="1" x14ac:dyDescent="0.35">
      <c r="A12" s="111" t="str">
        <f>"012"</f>
        <v>012</v>
      </c>
      <c r="B12" s="130" t="str">
        <f>VLOOKUP(A12,TRANS!A:H,2,0)</f>
        <v>Cal hidraulica hidratada, 65% CUV</v>
      </c>
      <c r="C12" s="131" t="str">
        <f>VLOOKUP(A12,TRANS!A:J,3,0)</f>
        <v>tn</v>
      </c>
      <c r="D12" s="148">
        <f>D7</f>
        <v>1.3124999999999998E-2</v>
      </c>
      <c r="E12" s="132">
        <f>VLOOKUP(A12,TRANS!A:J,5,0)</f>
        <v>350</v>
      </c>
      <c r="F12" s="116">
        <f>D12*E12</f>
        <v>4.5937499999999991</v>
      </c>
      <c r="G12" s="7"/>
      <c r="H12" s="7"/>
      <c r="K12">
        <f>5/100*K10</f>
        <v>1.3124999999999998E-2</v>
      </c>
      <c r="L12" t="s">
        <v>8</v>
      </c>
    </row>
    <row r="13" spans="1:13" thickBot="1" x14ac:dyDescent="0.35">
      <c r="A13" s="119" t="str">
        <f>"016"</f>
        <v>016</v>
      </c>
      <c r="B13" s="135" t="str">
        <f>VLOOKUP(A13,TRANS!A:H,2,0)</f>
        <v>Suelo seleccionado</v>
      </c>
      <c r="C13" s="136" t="str">
        <f>VLOOKUP(A13,TRANS!A:J,3,0)</f>
        <v>m3</v>
      </c>
      <c r="D13" s="149">
        <f>D8</f>
        <v>0.1875</v>
      </c>
      <c r="E13" s="137">
        <f>VLOOKUP(A13,TRANS!A:J,5,0)</f>
        <v>20</v>
      </c>
      <c r="F13" s="116">
        <f>D13*E13</f>
        <v>3.75</v>
      </c>
      <c r="G13" s="7"/>
      <c r="H13" s="7"/>
    </row>
    <row r="14" spans="1:13" thickBot="1" x14ac:dyDescent="0.35">
      <c r="B14" s="17"/>
      <c r="C14" s="17"/>
      <c r="D14" s="24"/>
      <c r="E14" s="298" t="s">
        <v>64</v>
      </c>
      <c r="F14" s="308"/>
      <c r="G14" s="19">
        <f>+SUM(F12:F13)</f>
        <v>8.34375</v>
      </c>
      <c r="H14" s="7" t="s">
        <v>37</v>
      </c>
    </row>
    <row r="15" spans="1:13" thickBot="1" x14ac:dyDescent="0.35">
      <c r="B15" s="13"/>
      <c r="C15" s="13"/>
      <c r="D15" s="13"/>
      <c r="E15" s="17"/>
      <c r="F15" s="17"/>
      <c r="G15" s="17"/>
      <c r="H15" s="7"/>
    </row>
    <row r="16" spans="1:13" ht="29.45" thickBot="1" x14ac:dyDescent="0.35">
      <c r="A16" s="74" t="s">
        <v>63</v>
      </c>
      <c r="B16" s="30" t="s">
        <v>185</v>
      </c>
      <c r="C16" s="31"/>
      <c r="D16" s="31"/>
      <c r="E16" s="31"/>
      <c r="F16" s="16" t="s">
        <v>35</v>
      </c>
      <c r="G16" s="7"/>
      <c r="H16" s="7"/>
    </row>
    <row r="17" spans="1:8" thickBot="1" x14ac:dyDescent="0.35">
      <c r="A17" s="138"/>
      <c r="B17" s="145" t="s">
        <v>172</v>
      </c>
      <c r="C17" s="140"/>
      <c r="D17" s="140"/>
      <c r="E17" s="146"/>
      <c r="F17" s="147">
        <f>G9*0.4</f>
        <v>487.38149999999996</v>
      </c>
      <c r="G17" s="7"/>
      <c r="H17" s="7"/>
    </row>
    <row r="18" spans="1:8" thickBot="1" x14ac:dyDescent="0.35">
      <c r="B18" s="17"/>
      <c r="C18" s="17"/>
      <c r="D18" s="18"/>
      <c r="E18" s="298" t="s">
        <v>193</v>
      </c>
      <c r="F18" s="299"/>
      <c r="G18" s="19">
        <f>+SUM(F17:F17)</f>
        <v>487.38149999999996</v>
      </c>
      <c r="H18" s="7" t="s">
        <v>37</v>
      </c>
    </row>
    <row r="19" spans="1:8" thickBot="1" x14ac:dyDescent="0.35">
      <c r="B19" s="7"/>
      <c r="C19" s="7"/>
      <c r="D19" s="7"/>
      <c r="E19" s="7"/>
      <c r="F19" s="7"/>
      <c r="G19" s="7"/>
      <c r="H19" s="7"/>
    </row>
    <row r="20" spans="1:8" thickBot="1" x14ac:dyDescent="0.35">
      <c r="E20" s="300" t="s">
        <v>66</v>
      </c>
      <c r="F20" s="301"/>
      <c r="G20" s="78">
        <f>+G18+G14+G9</f>
        <v>1714.1789999999999</v>
      </c>
      <c r="H20" s="7" t="s">
        <v>37</v>
      </c>
    </row>
  </sheetData>
  <mergeCells count="8">
    <mergeCell ref="E18:F18"/>
    <mergeCell ref="E20:F20"/>
    <mergeCell ref="B1:C1"/>
    <mergeCell ref="C2:G2"/>
    <mergeCell ref="E3:F3"/>
    <mergeCell ref="E4:F4"/>
    <mergeCell ref="E9:F9"/>
    <mergeCell ref="E14:F14"/>
  </mergeCells>
  <pageMargins left="0.7" right="0.7" top="0.75" bottom="0.75" header="0.3" footer="0.3"/>
  <pageSetup paperSize="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>
    <tabColor rgb="FF92D050"/>
  </sheetPr>
  <dimension ref="A1:O20"/>
  <sheetViews>
    <sheetView workbookViewId="0">
      <selection activeCell="H18" sqref="H18"/>
    </sheetView>
  </sheetViews>
  <sheetFormatPr baseColWidth="10" defaultRowHeight="15" x14ac:dyDescent="0.25"/>
  <cols>
    <col min="2" max="2" width="36.28515625" bestFit="1" customWidth="1"/>
    <col min="7" max="7" width="15.28515625" customWidth="1"/>
  </cols>
  <sheetData>
    <row r="1" spans="1:15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5" ht="16.5" thickBot="1" x14ac:dyDescent="0.3">
      <c r="B2" s="8" t="s">
        <v>28</v>
      </c>
      <c r="C2" s="304" t="s">
        <v>190</v>
      </c>
      <c r="D2" s="304"/>
      <c r="E2" s="304"/>
      <c r="F2" s="304"/>
      <c r="G2" s="305"/>
      <c r="H2" s="7"/>
    </row>
    <row r="3" spans="1:15" ht="15.75" thickBot="1" x14ac:dyDescent="0.3">
      <c r="B3" s="8" t="s">
        <v>112</v>
      </c>
      <c r="C3" s="9" t="s">
        <v>25</v>
      </c>
      <c r="D3" s="3"/>
      <c r="E3" s="306" t="s">
        <v>30</v>
      </c>
      <c r="F3" s="307"/>
      <c r="G3" s="76" t="s">
        <v>7</v>
      </c>
      <c r="H3" s="7"/>
    </row>
    <row r="4" spans="1:15" thickBot="1" x14ac:dyDescent="0.35">
      <c r="B4" s="8" t="s">
        <v>42</v>
      </c>
      <c r="C4" s="77">
        <v>0.2</v>
      </c>
      <c r="D4" s="3" t="s">
        <v>43</v>
      </c>
      <c r="E4" s="306"/>
      <c r="F4" s="307"/>
      <c r="G4" s="79"/>
      <c r="H4" s="11"/>
    </row>
    <row r="5" spans="1:15" thickBot="1" x14ac:dyDescent="0.35">
      <c r="B5" s="12"/>
      <c r="C5" s="12"/>
      <c r="D5" s="12"/>
      <c r="E5" s="12"/>
      <c r="F5" s="12"/>
      <c r="G5" s="13"/>
      <c r="H5" s="7"/>
    </row>
    <row r="6" spans="1:15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  <c r="M6">
        <v>1.4</v>
      </c>
      <c r="N6" t="s">
        <v>8</v>
      </c>
      <c r="O6" t="s">
        <v>4</v>
      </c>
    </row>
    <row r="7" spans="1:15" ht="14.45" x14ac:dyDescent="0.3">
      <c r="A7" s="111" t="str">
        <f>"012"</f>
        <v>012</v>
      </c>
      <c r="B7" s="130" t="str">
        <f>VLOOKUP(A7,MAT!A:H,2,0)</f>
        <v>Cal hidraulica hidratada, 65% CUV</v>
      </c>
      <c r="C7" s="131" t="str">
        <f>VLOOKUP(A7,MAT!A:H,3,0)</f>
        <v>tn</v>
      </c>
      <c r="D7" s="148">
        <f>M9</f>
        <v>1.7499999999999998E-2</v>
      </c>
      <c r="E7" s="115">
        <f>VLOOKUP(A7,MAT!A:H,8,0)</f>
        <v>37128</v>
      </c>
      <c r="F7" s="116">
        <f>+D7*E7</f>
        <v>649.7399999999999</v>
      </c>
      <c r="G7" s="7"/>
      <c r="H7" s="7"/>
      <c r="M7">
        <f>O7*M6/1</f>
        <v>0.35</v>
      </c>
      <c r="N7" t="s">
        <v>8</v>
      </c>
      <c r="O7" s="100">
        <f>D8</f>
        <v>0.25</v>
      </c>
    </row>
    <row r="8" spans="1:15" thickBot="1" x14ac:dyDescent="0.35">
      <c r="A8" s="119" t="str">
        <f>"016"</f>
        <v>016</v>
      </c>
      <c r="B8" s="135" t="str">
        <f>VLOOKUP(A8,MAT!A:H,2,0)</f>
        <v>Suelo seleccionado</v>
      </c>
      <c r="C8" s="136" t="str">
        <f>VLOOKUP(A8,MAT!A:H,3,0)</f>
        <v>m3</v>
      </c>
      <c r="D8" s="149">
        <f>1.25*C4</f>
        <v>0.25</v>
      </c>
      <c r="E8" s="123">
        <f>VLOOKUP(A8,MAT!A:H,8,0)</f>
        <v>3899.46</v>
      </c>
      <c r="F8" s="124">
        <f>+D8*E8</f>
        <v>974.86500000000001</v>
      </c>
      <c r="G8" s="7"/>
      <c r="H8" s="7"/>
    </row>
    <row r="9" spans="1:15" thickBot="1" x14ac:dyDescent="0.35">
      <c r="B9" s="17"/>
      <c r="C9" s="17"/>
      <c r="D9" s="18"/>
      <c r="E9" s="298" t="s">
        <v>36</v>
      </c>
      <c r="F9" s="299"/>
      <c r="G9" s="19">
        <f>+SUM(F7:F8)</f>
        <v>1624.605</v>
      </c>
      <c r="H9" s="7" t="s">
        <v>37</v>
      </c>
      <c r="M9">
        <f>5/100*M7</f>
        <v>1.7499999999999998E-2</v>
      </c>
      <c r="N9" t="s">
        <v>8</v>
      </c>
      <c r="O9">
        <v>1</v>
      </c>
    </row>
    <row r="10" spans="1:15" thickBot="1" x14ac:dyDescent="0.35">
      <c r="B10" s="12"/>
      <c r="C10" s="12"/>
      <c r="D10" s="12"/>
      <c r="E10" s="20"/>
      <c r="F10" s="20"/>
      <c r="G10" s="17"/>
      <c r="H10" s="7"/>
      <c r="M10">
        <f>O10*M9/1</f>
        <v>3.4999999999999996E-3</v>
      </c>
      <c r="O10">
        <v>0.2</v>
      </c>
    </row>
    <row r="11" spans="1:15" ht="29.45" thickBot="1" x14ac:dyDescent="0.35">
      <c r="A11" s="74" t="s">
        <v>63</v>
      </c>
      <c r="B11" s="30" t="s">
        <v>38</v>
      </c>
      <c r="C11" s="31" t="str">
        <f>+C6</f>
        <v>UNIDAD</v>
      </c>
      <c r="D11" s="31" t="str">
        <f>+D6</f>
        <v>CUANTIA</v>
      </c>
      <c r="E11" s="31" t="str">
        <f>+E6</f>
        <v>PRECIO</v>
      </c>
      <c r="F11" s="125" t="str">
        <f>+F6</f>
        <v>COSTO TOTAL</v>
      </c>
      <c r="G11" s="7"/>
      <c r="H11" s="7"/>
    </row>
    <row r="12" spans="1:15" thickBot="1" x14ac:dyDescent="0.35">
      <c r="A12" s="111" t="str">
        <f>"012"</f>
        <v>012</v>
      </c>
      <c r="B12" s="130" t="str">
        <f>VLOOKUP(A12,TRANS!A:H,2,0)</f>
        <v>Cal hidraulica hidratada, 65% CUV</v>
      </c>
      <c r="C12" s="131" t="str">
        <f>VLOOKUP(A12,TRANS!A:J,3,0)</f>
        <v>tn</v>
      </c>
      <c r="D12" s="148">
        <f>D7</f>
        <v>1.7499999999999998E-2</v>
      </c>
      <c r="E12" s="137">
        <f>VLOOKUP(A12,TRANS!A:J,5,0)</f>
        <v>350</v>
      </c>
      <c r="F12" s="116">
        <f>E12*D12</f>
        <v>6.1249999999999991</v>
      </c>
      <c r="G12" s="7"/>
      <c r="H12" s="7"/>
    </row>
    <row r="13" spans="1:15" thickBot="1" x14ac:dyDescent="0.35">
      <c r="A13" s="119" t="str">
        <f>A8</f>
        <v>016</v>
      </c>
      <c r="B13" s="135" t="str">
        <f>VLOOKUP(A13,TRANS!A:H,2,0)</f>
        <v>Suelo seleccionado</v>
      </c>
      <c r="C13" s="136" t="str">
        <f>VLOOKUP(A13,TRANS!A:J,3,0)</f>
        <v>m3</v>
      </c>
      <c r="D13" s="148">
        <f>D8</f>
        <v>0.25</v>
      </c>
      <c r="E13" s="137">
        <f>VLOOKUP(A13,TRANS!A:J,5,0)</f>
        <v>20</v>
      </c>
      <c r="F13" s="116">
        <f>E13*D13</f>
        <v>5</v>
      </c>
      <c r="G13" s="7"/>
      <c r="H13" s="7"/>
    </row>
    <row r="14" spans="1:15" thickBot="1" x14ac:dyDescent="0.35">
      <c r="B14" s="17"/>
      <c r="C14" s="17"/>
      <c r="D14" s="24"/>
      <c r="E14" s="298" t="s">
        <v>64</v>
      </c>
      <c r="F14" s="308"/>
      <c r="G14" s="19">
        <f>+SUM(F12:F13)</f>
        <v>11.125</v>
      </c>
      <c r="H14" s="7" t="s">
        <v>37</v>
      </c>
    </row>
    <row r="15" spans="1:15" thickBot="1" x14ac:dyDescent="0.35">
      <c r="B15" s="13"/>
      <c r="C15" s="13"/>
      <c r="D15" s="13"/>
      <c r="E15" s="17"/>
      <c r="F15" s="17"/>
      <c r="G15" s="17"/>
      <c r="H15" s="7"/>
    </row>
    <row r="16" spans="1:15" ht="29.45" thickBot="1" x14ac:dyDescent="0.35">
      <c r="A16" s="41" t="s">
        <v>63</v>
      </c>
      <c r="B16" s="21" t="s">
        <v>185</v>
      </c>
      <c r="C16" s="22"/>
      <c r="D16" s="22"/>
      <c r="E16" s="22"/>
      <c r="F16" s="25" t="s">
        <v>35</v>
      </c>
      <c r="G16" s="7"/>
      <c r="H16" s="7"/>
    </row>
    <row r="17" spans="1:10" thickBot="1" x14ac:dyDescent="0.35">
      <c r="A17" s="40"/>
      <c r="B17" s="92" t="s">
        <v>172</v>
      </c>
      <c r="C17" s="93"/>
      <c r="D17" s="93"/>
      <c r="E17" s="94"/>
      <c r="F17" s="95">
        <f>G9*0.4</f>
        <v>649.8420000000001</v>
      </c>
      <c r="G17" s="7"/>
      <c r="H17" s="7"/>
    </row>
    <row r="18" spans="1:10" thickBot="1" x14ac:dyDescent="0.35">
      <c r="B18" s="17"/>
      <c r="C18" s="17"/>
      <c r="D18" s="18"/>
      <c r="E18" s="298" t="s">
        <v>193</v>
      </c>
      <c r="F18" s="299"/>
      <c r="G18" s="19">
        <f>+SUM(F17:F17)</f>
        <v>649.8420000000001</v>
      </c>
      <c r="H18" s="7" t="s">
        <v>37</v>
      </c>
      <c r="J18" s="61"/>
    </row>
    <row r="19" spans="1:10" thickBot="1" x14ac:dyDescent="0.35">
      <c r="B19" s="7"/>
      <c r="C19" s="7"/>
      <c r="D19" s="7"/>
      <c r="E19" s="7"/>
      <c r="F19" s="7"/>
      <c r="G19" s="7"/>
      <c r="H19" s="7"/>
    </row>
    <row r="20" spans="1:10" thickBot="1" x14ac:dyDescent="0.35">
      <c r="E20" s="300" t="s">
        <v>66</v>
      </c>
      <c r="F20" s="301"/>
      <c r="G20" s="78">
        <f>(+G18+G14+G9)</f>
        <v>2285.5720000000001</v>
      </c>
      <c r="H20" s="7" t="s">
        <v>37</v>
      </c>
    </row>
  </sheetData>
  <mergeCells count="8">
    <mergeCell ref="E18:F18"/>
    <mergeCell ref="E20:F20"/>
    <mergeCell ref="B1:C1"/>
    <mergeCell ref="C2:G2"/>
    <mergeCell ref="E3:F3"/>
    <mergeCell ref="E4:F4"/>
    <mergeCell ref="E9:F9"/>
    <mergeCell ref="E14:F14"/>
  </mergeCells>
  <pageMargins left="0.7" right="0.7" top="0.75" bottom="0.75" header="0.3" footer="0.3"/>
  <pageSetup paperSize="9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7">
    <tabColor rgb="FF92D050"/>
  </sheetPr>
  <dimension ref="A1:H20"/>
  <sheetViews>
    <sheetView workbookViewId="0">
      <selection activeCell="H13" sqref="H13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133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26</v>
      </c>
      <c r="D3" s="3"/>
      <c r="E3" s="306" t="s">
        <v>30</v>
      </c>
      <c r="F3" s="307"/>
      <c r="G3" s="76" t="s">
        <v>7</v>
      </c>
      <c r="H3" s="7"/>
    </row>
    <row r="4" spans="1:8" thickBot="1" x14ac:dyDescent="0.35">
      <c r="B4" s="8" t="s">
        <v>42</v>
      </c>
      <c r="C4" s="77">
        <v>0.1</v>
      </c>
      <c r="D4" s="3" t="s">
        <v>43</v>
      </c>
      <c r="E4" s="306"/>
      <c r="F4" s="307"/>
      <c r="G4" s="79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ht="14.45" x14ac:dyDescent="0.3">
      <c r="A7" s="111" t="str">
        <f>"001"</f>
        <v>001</v>
      </c>
      <c r="B7" s="130" t="str">
        <f>VLOOKUP(A7,MAT!A:H,2,0)</f>
        <v>Cemento Portland a granel</v>
      </c>
      <c r="C7" s="131" t="str">
        <f>VLOOKUP(A7,MAT!A:H,3,0)</f>
        <v>tn</v>
      </c>
      <c r="D7" s="148">
        <f>120/1000*C4</f>
        <v>1.2E-2</v>
      </c>
      <c r="E7" s="115">
        <f>VLOOKUP(A7,MAT!A:H,8,0)</f>
        <v>38964</v>
      </c>
      <c r="F7" s="116">
        <f>+D7*E7</f>
        <v>467.56799999999998</v>
      </c>
      <c r="G7" s="7"/>
      <c r="H7" s="7"/>
    </row>
    <row r="8" spans="1:8" thickBot="1" x14ac:dyDescent="0.35">
      <c r="A8" s="119" t="str">
        <f>"016"</f>
        <v>016</v>
      </c>
      <c r="B8" s="135" t="str">
        <f>VLOOKUP(A8,MAT!A:H,2,0)</f>
        <v>Suelo seleccionado</v>
      </c>
      <c r="C8" s="136" t="str">
        <f>VLOOKUP(A8,MAT!A:H,3,0)</f>
        <v>m3</v>
      </c>
      <c r="D8" s="149">
        <f>C4*1.25</f>
        <v>0.125</v>
      </c>
      <c r="E8" s="123">
        <f>VLOOKUP(A8,MAT!A:H,8,0)</f>
        <v>3899.46</v>
      </c>
      <c r="F8" s="124">
        <f>+D8*E8</f>
        <v>487.4325</v>
      </c>
      <c r="G8" s="7"/>
      <c r="H8" s="7"/>
    </row>
    <row r="9" spans="1:8" thickBot="1" x14ac:dyDescent="0.35">
      <c r="B9" s="17"/>
      <c r="C9" s="17"/>
      <c r="D9" s="18"/>
      <c r="E9" s="298" t="s">
        <v>36</v>
      </c>
      <c r="F9" s="299"/>
      <c r="G9" s="19">
        <f>+SUM(F8:F8)</f>
        <v>487.4325</v>
      </c>
      <c r="H9" s="11" t="s">
        <v>37</v>
      </c>
    </row>
    <row r="10" spans="1:8" thickBot="1" x14ac:dyDescent="0.35">
      <c r="B10" s="12"/>
      <c r="C10" s="12"/>
      <c r="D10" s="12"/>
      <c r="E10" s="20"/>
      <c r="F10" s="20"/>
      <c r="G10" s="17"/>
      <c r="H10" s="7"/>
    </row>
    <row r="11" spans="1:8" ht="29.45" thickBot="1" x14ac:dyDescent="0.35">
      <c r="A11" s="74" t="s">
        <v>63</v>
      </c>
      <c r="B11" s="30" t="s">
        <v>38</v>
      </c>
      <c r="C11" s="31" t="str">
        <f>+C6</f>
        <v>UNIDAD</v>
      </c>
      <c r="D11" s="31" t="str">
        <f>+D6</f>
        <v>CUANTIA</v>
      </c>
      <c r="E11" s="31" t="str">
        <f>+E6</f>
        <v>PRECIO</v>
      </c>
      <c r="F11" s="125" t="str">
        <f>+F6</f>
        <v>COSTO TOTAL</v>
      </c>
      <c r="G11" s="7"/>
      <c r="H11" s="7"/>
    </row>
    <row r="12" spans="1:8" thickBot="1" x14ac:dyDescent="0.35">
      <c r="A12" s="111" t="str">
        <f>A7</f>
        <v>001</v>
      </c>
      <c r="B12" s="130" t="str">
        <f>VLOOKUP(A12,TRANS!A:H,2,0)</f>
        <v>Cemento Portland a granel</v>
      </c>
      <c r="C12" s="131" t="str">
        <f>VLOOKUP(A12,TRANS!A:J,3,0)</f>
        <v>tn</v>
      </c>
      <c r="D12" s="148">
        <f>D7</f>
        <v>1.2E-2</v>
      </c>
      <c r="E12" s="137">
        <f>VLOOKUP(A7,TRANS!A:J,5,0)</f>
        <v>350</v>
      </c>
      <c r="F12" s="116">
        <f>D12*E12</f>
        <v>4.2</v>
      </c>
      <c r="G12" s="7"/>
      <c r="H12" s="7"/>
    </row>
    <row r="13" spans="1:8" thickBot="1" x14ac:dyDescent="0.35">
      <c r="A13" s="119" t="str">
        <f>"016"</f>
        <v>016</v>
      </c>
      <c r="B13" s="135" t="str">
        <f>VLOOKUP(A13,TRANS!A:H,2,0)</f>
        <v>Suelo seleccionado</v>
      </c>
      <c r="C13" s="136" t="str">
        <f>VLOOKUP(A13,TRANS!A:J,3,0)</f>
        <v>m3</v>
      </c>
      <c r="D13" s="149">
        <f>D8</f>
        <v>0.125</v>
      </c>
      <c r="E13" s="137">
        <f>VLOOKUP(A8,TRANS!A:J,5,0)</f>
        <v>20</v>
      </c>
      <c r="F13" s="116">
        <f>D13*E13</f>
        <v>2.5</v>
      </c>
      <c r="G13" s="7"/>
      <c r="H13" s="7"/>
    </row>
    <row r="14" spans="1:8" thickBot="1" x14ac:dyDescent="0.35">
      <c r="B14" s="17"/>
      <c r="C14" s="17"/>
      <c r="D14" s="24"/>
      <c r="E14" s="298" t="s">
        <v>64</v>
      </c>
      <c r="F14" s="308"/>
      <c r="G14" s="19">
        <f>+SUM(F12:F13)</f>
        <v>6.7</v>
      </c>
      <c r="H14" s="7" t="s">
        <v>37</v>
      </c>
    </row>
    <row r="15" spans="1:8" thickBot="1" x14ac:dyDescent="0.35">
      <c r="B15" s="13"/>
      <c r="C15" s="13"/>
      <c r="D15" s="13"/>
      <c r="E15" s="17"/>
      <c r="F15" s="17"/>
      <c r="G15" s="17"/>
      <c r="H15" s="7"/>
    </row>
    <row r="16" spans="1:8" ht="29.45" thickBot="1" x14ac:dyDescent="0.35">
      <c r="A16" s="74" t="s">
        <v>63</v>
      </c>
      <c r="B16" s="30" t="s">
        <v>185</v>
      </c>
      <c r="C16" s="31"/>
      <c r="D16" s="31"/>
      <c r="E16" s="31"/>
      <c r="F16" s="16" t="s">
        <v>35</v>
      </c>
      <c r="G16" s="7"/>
      <c r="H16" s="7"/>
    </row>
    <row r="17" spans="1:8" thickBot="1" x14ac:dyDescent="0.35">
      <c r="A17" s="138"/>
      <c r="B17" s="145" t="s">
        <v>172</v>
      </c>
      <c r="C17" s="140"/>
      <c r="D17" s="140"/>
      <c r="E17" s="146"/>
      <c r="F17" s="147">
        <f>G9*0.4</f>
        <v>194.97300000000001</v>
      </c>
      <c r="G17" s="7"/>
      <c r="H17" s="7"/>
    </row>
    <row r="18" spans="1:8" ht="15" customHeight="1" thickBot="1" x14ac:dyDescent="0.35">
      <c r="B18" s="17"/>
      <c r="C18" s="17"/>
      <c r="D18" s="18"/>
      <c r="E18" s="298" t="s">
        <v>193</v>
      </c>
      <c r="F18" s="299"/>
      <c r="G18" s="19">
        <f>+SUM(F17:F17)</f>
        <v>194.97300000000001</v>
      </c>
      <c r="H18" s="7" t="s">
        <v>37</v>
      </c>
    </row>
    <row r="19" spans="1:8" thickBot="1" x14ac:dyDescent="0.35">
      <c r="B19" s="7"/>
      <c r="C19" s="7"/>
      <c r="D19" s="7"/>
      <c r="E19" s="7"/>
      <c r="F19" s="7"/>
      <c r="G19" s="7"/>
      <c r="H19" s="7"/>
    </row>
    <row r="20" spans="1:8" thickBot="1" x14ac:dyDescent="0.35">
      <c r="E20" s="300" t="s">
        <v>66</v>
      </c>
      <c r="F20" s="301"/>
      <c r="G20" s="78">
        <f>+G18+G14+G9</f>
        <v>689.10550000000001</v>
      </c>
      <c r="H20" s="7" t="s">
        <v>37</v>
      </c>
    </row>
  </sheetData>
  <mergeCells count="8">
    <mergeCell ref="E18:F18"/>
    <mergeCell ref="E20:F20"/>
    <mergeCell ref="B1:C1"/>
    <mergeCell ref="C2:G2"/>
    <mergeCell ref="E3:F3"/>
    <mergeCell ref="E4:F4"/>
    <mergeCell ref="E9:F9"/>
    <mergeCell ref="E14:F14"/>
  </mergeCells>
  <pageMargins left="0.7" right="0.7" top="0.75" bottom="0.75" header="0.3" footer="0.3"/>
  <pageSetup paperSize="9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>
    <tabColor rgb="FF92D050"/>
  </sheetPr>
  <dimension ref="A1:H20"/>
  <sheetViews>
    <sheetView workbookViewId="0">
      <selection activeCell="H13" sqref="H13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134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136</v>
      </c>
      <c r="D3" s="3"/>
      <c r="E3" s="306" t="s">
        <v>30</v>
      </c>
      <c r="F3" s="307"/>
      <c r="G3" s="76" t="s">
        <v>7</v>
      </c>
      <c r="H3" s="7"/>
    </row>
    <row r="4" spans="1:8" ht="15.75" thickBot="1" x14ac:dyDescent="0.3">
      <c r="B4" s="8" t="s">
        <v>42</v>
      </c>
      <c r="C4" s="77">
        <v>0.15</v>
      </c>
      <c r="D4" s="3" t="s">
        <v>43</v>
      </c>
      <c r="E4" s="306" t="s">
        <v>31</v>
      </c>
      <c r="F4" s="307"/>
      <c r="G4" s="79"/>
      <c r="H4" s="11" t="s">
        <v>32</v>
      </c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ht="14.45" x14ac:dyDescent="0.3">
      <c r="A7" s="111" t="str">
        <f>"001"</f>
        <v>001</v>
      </c>
      <c r="B7" s="130" t="str">
        <f>VLOOKUP(A7,MAT!A:H,2,0)</f>
        <v>Cemento Portland a granel</v>
      </c>
      <c r="C7" s="131" t="str">
        <f>VLOOKUP(A7,MAT!A:H,3,0)</f>
        <v>tn</v>
      </c>
      <c r="D7" s="148">
        <f>120/1000*C4</f>
        <v>1.7999999999999999E-2</v>
      </c>
      <c r="E7" s="115">
        <f>VLOOKUP(A7,MAT!A:H,8,0)</f>
        <v>38964</v>
      </c>
      <c r="F7" s="116">
        <f>+D7*E7</f>
        <v>701.35199999999998</v>
      </c>
      <c r="G7" s="7"/>
      <c r="H7" s="7"/>
    </row>
    <row r="8" spans="1:8" thickBot="1" x14ac:dyDescent="0.35">
      <c r="A8" s="119" t="str">
        <f>"016"</f>
        <v>016</v>
      </c>
      <c r="B8" s="135" t="str">
        <f>VLOOKUP(A8,MAT!A:H,2,0)</f>
        <v>Suelo seleccionado</v>
      </c>
      <c r="C8" s="136" t="str">
        <f>VLOOKUP(A8,MAT!A:H,3,0)</f>
        <v>m3</v>
      </c>
      <c r="D8" s="149">
        <f>C4*1.25</f>
        <v>0.1875</v>
      </c>
      <c r="E8" s="123">
        <f>VLOOKUP(A8,MAT!A:H,8,0)</f>
        <v>3899.46</v>
      </c>
      <c r="F8" s="124">
        <f>+D8*E8</f>
        <v>731.14875000000006</v>
      </c>
      <c r="G8" s="7"/>
      <c r="H8" s="7"/>
    </row>
    <row r="9" spans="1:8" thickBot="1" x14ac:dyDescent="0.35">
      <c r="B9" s="17"/>
      <c r="C9" s="17"/>
      <c r="D9" s="18"/>
      <c r="E9" s="298" t="s">
        <v>36</v>
      </c>
      <c r="F9" s="299"/>
      <c r="G9" s="19">
        <f>+SUM(F8:F8)</f>
        <v>731.14875000000006</v>
      </c>
      <c r="H9" s="11" t="s">
        <v>37</v>
      </c>
    </row>
    <row r="10" spans="1:8" thickBot="1" x14ac:dyDescent="0.35">
      <c r="B10" s="12"/>
      <c r="C10" s="12"/>
      <c r="D10" s="12"/>
      <c r="E10" s="20"/>
      <c r="F10" s="20"/>
      <c r="G10" s="17"/>
      <c r="H10" s="7"/>
    </row>
    <row r="11" spans="1:8" ht="29.45" thickBot="1" x14ac:dyDescent="0.35">
      <c r="A11" s="74" t="s">
        <v>63</v>
      </c>
      <c r="B11" s="30" t="s">
        <v>38</v>
      </c>
      <c r="C11" s="31" t="str">
        <f>+C6</f>
        <v>UNIDAD</v>
      </c>
      <c r="D11" s="31" t="str">
        <f>+D6</f>
        <v>CUANTIA</v>
      </c>
      <c r="E11" s="31" t="str">
        <f>+E6</f>
        <v>PRECIO</v>
      </c>
      <c r="F11" s="125" t="str">
        <f>+F6</f>
        <v>COSTO TOTAL</v>
      </c>
      <c r="G11" s="7"/>
      <c r="H11" s="7"/>
    </row>
    <row r="12" spans="1:8" thickBot="1" x14ac:dyDescent="0.35">
      <c r="A12" s="111" t="str">
        <f>A7</f>
        <v>001</v>
      </c>
      <c r="B12" s="130" t="str">
        <f>VLOOKUP(A12,TRANS!A:H,2,0)</f>
        <v>Cemento Portland a granel</v>
      </c>
      <c r="C12" s="131" t="str">
        <f>VLOOKUP(A12,TRANS!A:J,3,0)</f>
        <v>tn</v>
      </c>
      <c r="D12" s="148">
        <f>D7</f>
        <v>1.7999999999999999E-2</v>
      </c>
      <c r="E12" s="137">
        <f>VLOOKUP(A7,TRANS!A:J,5,0)</f>
        <v>350</v>
      </c>
      <c r="F12" s="116">
        <f>E12*D12</f>
        <v>6.3</v>
      </c>
      <c r="G12" s="7"/>
      <c r="H12" s="7"/>
    </row>
    <row r="13" spans="1:8" thickBot="1" x14ac:dyDescent="0.35">
      <c r="A13" s="119" t="str">
        <f>"016"</f>
        <v>016</v>
      </c>
      <c r="B13" s="135" t="str">
        <f>VLOOKUP(A13,TRANS!A:H,2,0)</f>
        <v>Suelo seleccionado</v>
      </c>
      <c r="C13" s="136" t="str">
        <f>VLOOKUP(A13,TRANS!A:J,3,0)</f>
        <v>m3</v>
      </c>
      <c r="D13" s="148">
        <f>D8</f>
        <v>0.1875</v>
      </c>
      <c r="E13" s="137">
        <f>VLOOKUP(A8,TRANS!A:J,5,0)</f>
        <v>20</v>
      </c>
      <c r="F13" s="116">
        <f>E13*D13</f>
        <v>3.75</v>
      </c>
      <c r="G13" s="7"/>
      <c r="H13" s="7"/>
    </row>
    <row r="14" spans="1:8" thickBot="1" x14ac:dyDescent="0.35">
      <c r="B14" s="17"/>
      <c r="C14" s="17"/>
      <c r="D14" s="24"/>
      <c r="E14" s="298" t="s">
        <v>64</v>
      </c>
      <c r="F14" s="308"/>
      <c r="G14" s="19">
        <f>+SUM(F12:F13)</f>
        <v>10.050000000000001</v>
      </c>
      <c r="H14" s="7" t="s">
        <v>37</v>
      </c>
    </row>
    <row r="15" spans="1:8" thickBot="1" x14ac:dyDescent="0.35">
      <c r="B15" s="13"/>
      <c r="C15" s="13"/>
      <c r="D15" s="13"/>
      <c r="E15" s="17"/>
      <c r="F15" s="17"/>
      <c r="G15" s="17"/>
      <c r="H15" s="7"/>
    </row>
    <row r="16" spans="1:8" ht="29.45" thickBot="1" x14ac:dyDescent="0.35">
      <c r="A16" s="74" t="s">
        <v>63</v>
      </c>
      <c r="B16" s="30" t="s">
        <v>185</v>
      </c>
      <c r="C16" s="31"/>
      <c r="D16" s="31"/>
      <c r="E16" s="31"/>
      <c r="F16" s="16" t="s">
        <v>35</v>
      </c>
      <c r="G16" s="7"/>
      <c r="H16" s="7"/>
    </row>
    <row r="17" spans="1:8" thickBot="1" x14ac:dyDescent="0.35">
      <c r="A17" s="138"/>
      <c r="B17" s="145" t="s">
        <v>172</v>
      </c>
      <c r="C17" s="140"/>
      <c r="D17" s="140"/>
      <c r="E17" s="146"/>
      <c r="F17" s="147">
        <f>G9*0.4</f>
        <v>292.45950000000005</v>
      </c>
      <c r="G17" s="7"/>
      <c r="H17" s="7"/>
    </row>
    <row r="18" spans="1:8" ht="15" customHeight="1" thickBot="1" x14ac:dyDescent="0.35">
      <c r="B18" s="17"/>
      <c r="C18" s="17"/>
      <c r="D18" s="18"/>
      <c r="E18" s="298" t="s">
        <v>193</v>
      </c>
      <c r="F18" s="299"/>
      <c r="G18" s="19">
        <f>+SUM(F17:F17)</f>
        <v>292.45950000000005</v>
      </c>
      <c r="H18" s="7" t="s">
        <v>37</v>
      </c>
    </row>
    <row r="19" spans="1:8" thickBot="1" x14ac:dyDescent="0.35">
      <c r="B19" s="7"/>
      <c r="C19" s="7"/>
      <c r="D19" s="7"/>
      <c r="E19" s="7"/>
      <c r="F19" s="7"/>
      <c r="G19" s="7"/>
      <c r="H19" s="7"/>
    </row>
    <row r="20" spans="1:8" thickBot="1" x14ac:dyDescent="0.35">
      <c r="E20" s="300" t="s">
        <v>66</v>
      </c>
      <c r="F20" s="301"/>
      <c r="G20" s="78">
        <f>+G18+G14+G9</f>
        <v>1033.6582500000002</v>
      </c>
      <c r="H20" s="7" t="s">
        <v>37</v>
      </c>
    </row>
  </sheetData>
  <mergeCells count="8">
    <mergeCell ref="E18:F18"/>
    <mergeCell ref="E20:F20"/>
    <mergeCell ref="B1:C1"/>
    <mergeCell ref="C2:G2"/>
    <mergeCell ref="E3:F3"/>
    <mergeCell ref="E4:F4"/>
    <mergeCell ref="E9:F9"/>
    <mergeCell ref="E14:F14"/>
  </mergeCells>
  <pageMargins left="0.7" right="0.7" top="0.75" bottom="0.75" header="0.3" footer="0.3"/>
  <pageSetup paperSize="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>
    <tabColor rgb="FF92D050"/>
  </sheetPr>
  <dimension ref="A1:H20"/>
  <sheetViews>
    <sheetView workbookViewId="0">
      <selection activeCell="H13" sqref="H13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135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137</v>
      </c>
      <c r="D3" s="3"/>
      <c r="E3" s="306" t="s">
        <v>30</v>
      </c>
      <c r="F3" s="307"/>
      <c r="G3" s="76" t="s">
        <v>7</v>
      </c>
      <c r="H3" s="7"/>
    </row>
    <row r="4" spans="1:8" ht="15.75" thickBot="1" x14ac:dyDescent="0.3">
      <c r="B4" s="8" t="s">
        <v>42</v>
      </c>
      <c r="C4" s="77">
        <v>0.2</v>
      </c>
      <c r="D4" s="3" t="s">
        <v>43</v>
      </c>
      <c r="E4" s="306" t="s">
        <v>31</v>
      </c>
      <c r="F4" s="307"/>
      <c r="G4" s="79"/>
      <c r="H4" s="11" t="s">
        <v>32</v>
      </c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ht="14.45" x14ac:dyDescent="0.3">
      <c r="A7" s="111" t="str">
        <f>"001"</f>
        <v>001</v>
      </c>
      <c r="B7" s="130" t="str">
        <f>VLOOKUP(A7,MAT!A:H,2,0)</f>
        <v>Cemento Portland a granel</v>
      </c>
      <c r="C7" s="131" t="str">
        <f>VLOOKUP(A7,MAT!A:H,3,0)</f>
        <v>tn</v>
      </c>
      <c r="D7" s="148">
        <f>120/1000*C4</f>
        <v>2.4E-2</v>
      </c>
      <c r="E7" s="115">
        <f>VLOOKUP(A7,MAT!A:H,8,0)</f>
        <v>38964</v>
      </c>
      <c r="F7" s="116">
        <f>+D7*E7</f>
        <v>935.13599999999997</v>
      </c>
      <c r="G7" s="7"/>
      <c r="H7" s="7"/>
    </row>
    <row r="8" spans="1:8" thickBot="1" x14ac:dyDescent="0.35">
      <c r="A8" s="119" t="str">
        <f>"016"</f>
        <v>016</v>
      </c>
      <c r="B8" s="135" t="str">
        <f>VLOOKUP(A8,MAT!A:H,2,0)</f>
        <v>Suelo seleccionado</v>
      </c>
      <c r="C8" s="136" t="str">
        <f>VLOOKUP(A8,MAT!A:H,3,0)</f>
        <v>m3</v>
      </c>
      <c r="D8" s="149">
        <f>C4*1.25</f>
        <v>0.25</v>
      </c>
      <c r="E8" s="123">
        <f>VLOOKUP(A8,MAT!A:H,8,0)</f>
        <v>3899.46</v>
      </c>
      <c r="F8" s="124">
        <f>+D8*E8</f>
        <v>974.86500000000001</v>
      </c>
      <c r="G8" s="7"/>
      <c r="H8" s="7"/>
    </row>
    <row r="9" spans="1:8" thickBot="1" x14ac:dyDescent="0.35">
      <c r="B9" s="17"/>
      <c r="C9" s="17"/>
      <c r="D9" s="18"/>
      <c r="E9" s="298" t="s">
        <v>36</v>
      </c>
      <c r="F9" s="299"/>
      <c r="G9" s="19">
        <f>+SUM(F8:F8)</f>
        <v>974.86500000000001</v>
      </c>
      <c r="H9" s="11" t="s">
        <v>37</v>
      </c>
    </row>
    <row r="10" spans="1:8" thickBot="1" x14ac:dyDescent="0.35">
      <c r="B10" s="12"/>
      <c r="C10" s="12"/>
      <c r="D10" s="12"/>
      <c r="E10" s="20"/>
      <c r="F10" s="20"/>
      <c r="G10" s="17"/>
      <c r="H10" s="7"/>
    </row>
    <row r="11" spans="1:8" ht="29.45" thickBot="1" x14ac:dyDescent="0.35">
      <c r="A11" s="74" t="s">
        <v>63</v>
      </c>
      <c r="B11" s="30" t="s">
        <v>38</v>
      </c>
      <c r="C11" s="31" t="str">
        <f>+C6</f>
        <v>UNIDAD</v>
      </c>
      <c r="D11" s="31" t="str">
        <f>+D6</f>
        <v>CUANTIA</v>
      </c>
      <c r="E11" s="31" t="str">
        <f>+E6</f>
        <v>PRECIO</v>
      </c>
      <c r="F11" s="125" t="str">
        <f>+F6</f>
        <v>COSTO TOTAL</v>
      </c>
      <c r="G11" s="7"/>
      <c r="H11" s="7"/>
    </row>
    <row r="12" spans="1:8" thickBot="1" x14ac:dyDescent="0.35">
      <c r="A12" s="111" t="str">
        <f>A7</f>
        <v>001</v>
      </c>
      <c r="B12" s="130" t="str">
        <f>VLOOKUP(A12,TRANS!A:H,2,0)</f>
        <v>Cemento Portland a granel</v>
      </c>
      <c r="C12" s="131" t="str">
        <f>VLOOKUP(A12,TRANS!A:J,3,0)</f>
        <v>tn</v>
      </c>
      <c r="D12" s="148">
        <f>D7</f>
        <v>2.4E-2</v>
      </c>
      <c r="E12" s="132">
        <f>VLOOKUP(A12,TRANS!A:J,5,0)</f>
        <v>350</v>
      </c>
      <c r="F12" s="116">
        <f>D12*E12</f>
        <v>8.4</v>
      </c>
      <c r="G12" s="7"/>
      <c r="H12" s="7"/>
    </row>
    <row r="13" spans="1:8" ht="15.75" thickBot="1" x14ac:dyDescent="0.3">
      <c r="A13" s="119" t="str">
        <f>"015"</f>
        <v>015</v>
      </c>
      <c r="B13" s="135" t="str">
        <f>VLOOKUP(A13,TRANS!A:H,2,0)</f>
        <v>Suelo seleccionado (para terraplén)</v>
      </c>
      <c r="C13" s="136" t="str">
        <f>VLOOKUP(A13,TRANS!A:J,3,0)</f>
        <v>m3</v>
      </c>
      <c r="D13" s="149">
        <f>D8</f>
        <v>0.25</v>
      </c>
      <c r="E13" s="132">
        <f>VLOOKUP(A13,TRANS!A:J,5,0)</f>
        <v>20</v>
      </c>
      <c r="F13" s="116">
        <f>D13*E13</f>
        <v>5</v>
      </c>
      <c r="G13" s="7"/>
      <c r="H13" s="7"/>
    </row>
    <row r="14" spans="1:8" thickBot="1" x14ac:dyDescent="0.35">
      <c r="B14" s="17"/>
      <c r="C14" s="17"/>
      <c r="D14" s="24"/>
      <c r="E14" s="298" t="s">
        <v>64</v>
      </c>
      <c r="F14" s="308"/>
      <c r="G14" s="19">
        <f>+SUM(F12:F13)</f>
        <v>13.4</v>
      </c>
      <c r="H14" s="7" t="s">
        <v>37</v>
      </c>
    </row>
    <row r="15" spans="1:8" thickBot="1" x14ac:dyDescent="0.35">
      <c r="B15" s="13"/>
      <c r="C15" s="13"/>
      <c r="D15" s="13"/>
      <c r="E15" s="17"/>
      <c r="F15" s="17"/>
      <c r="G15" s="17"/>
      <c r="H15" s="7"/>
    </row>
    <row r="16" spans="1:8" ht="29.45" thickBot="1" x14ac:dyDescent="0.35">
      <c r="A16" s="74" t="s">
        <v>63</v>
      </c>
      <c r="B16" s="30" t="s">
        <v>185</v>
      </c>
      <c r="C16" s="31"/>
      <c r="D16" s="31"/>
      <c r="E16" s="31"/>
      <c r="F16" s="16" t="s">
        <v>35</v>
      </c>
      <c r="G16" s="7"/>
      <c r="H16" s="7"/>
    </row>
    <row r="17" spans="1:8" thickBot="1" x14ac:dyDescent="0.35">
      <c r="A17" s="138"/>
      <c r="B17" s="145" t="s">
        <v>172</v>
      </c>
      <c r="C17" s="140"/>
      <c r="D17" s="140"/>
      <c r="E17" s="146"/>
      <c r="F17" s="147">
        <f>G9*0.4</f>
        <v>389.94600000000003</v>
      </c>
      <c r="G17" s="7"/>
      <c r="H17" s="7"/>
    </row>
    <row r="18" spans="1:8" ht="15" customHeight="1" thickBot="1" x14ac:dyDescent="0.35">
      <c r="B18" s="17"/>
      <c r="C18" s="17"/>
      <c r="D18" s="18"/>
      <c r="E18" s="298" t="s">
        <v>193</v>
      </c>
      <c r="F18" s="299"/>
      <c r="G18" s="19">
        <f>+SUM(F17:F17)</f>
        <v>389.94600000000003</v>
      </c>
      <c r="H18" s="7" t="s">
        <v>37</v>
      </c>
    </row>
    <row r="19" spans="1:8" thickBot="1" x14ac:dyDescent="0.35">
      <c r="B19" s="7"/>
      <c r="C19" s="7"/>
      <c r="D19" s="7"/>
      <c r="E19" s="7"/>
      <c r="F19" s="7"/>
      <c r="G19" s="7"/>
      <c r="H19" s="7"/>
    </row>
    <row r="20" spans="1:8" thickBot="1" x14ac:dyDescent="0.35">
      <c r="E20" s="300" t="s">
        <v>66</v>
      </c>
      <c r="F20" s="301"/>
      <c r="G20" s="78">
        <f>+G18+G14+G9</f>
        <v>1378.211</v>
      </c>
      <c r="H20" s="7" t="s">
        <v>37</v>
      </c>
    </row>
  </sheetData>
  <mergeCells count="8">
    <mergeCell ref="E18:F18"/>
    <mergeCell ref="E20:F20"/>
    <mergeCell ref="B1:C1"/>
    <mergeCell ref="C2:G2"/>
    <mergeCell ref="E3:F3"/>
    <mergeCell ref="E4:F4"/>
    <mergeCell ref="E9:F9"/>
    <mergeCell ref="E14:F14"/>
  </mergeCells>
  <pageMargins left="0.7" right="0.7" top="0.75" bottom="0.75" header="0.3" footer="0.3"/>
  <pageSetup paperSize="9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>
    <tabColor theme="9"/>
  </sheetPr>
  <dimension ref="A1:J22"/>
  <sheetViews>
    <sheetView workbookViewId="0">
      <selection activeCell="H13" sqref="H13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</cols>
  <sheetData>
    <row r="1" spans="1:10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0" ht="16.5" thickBot="1" x14ac:dyDescent="0.3">
      <c r="B2" s="8" t="s">
        <v>28</v>
      </c>
      <c r="C2" s="304" t="s">
        <v>186</v>
      </c>
      <c r="D2" s="304"/>
      <c r="E2" s="304"/>
      <c r="F2" s="304"/>
      <c r="G2" s="305"/>
      <c r="H2" s="7"/>
    </row>
    <row r="3" spans="1:10" ht="15.75" thickBot="1" x14ac:dyDescent="0.3">
      <c r="B3" s="8" t="s">
        <v>112</v>
      </c>
      <c r="C3" s="9" t="s">
        <v>139</v>
      </c>
      <c r="D3" s="3"/>
      <c r="E3" s="306" t="s">
        <v>30</v>
      </c>
      <c r="F3" s="307"/>
      <c r="G3" s="76" t="s">
        <v>7</v>
      </c>
      <c r="H3" s="7"/>
    </row>
    <row r="4" spans="1:10" thickBot="1" x14ac:dyDescent="0.35">
      <c r="B4" s="8" t="s">
        <v>42</v>
      </c>
      <c r="C4" s="77">
        <v>0.15</v>
      </c>
      <c r="D4" s="3" t="s">
        <v>43</v>
      </c>
      <c r="E4" s="306"/>
      <c r="F4" s="307"/>
      <c r="G4" s="79"/>
      <c r="H4" s="11"/>
    </row>
    <row r="5" spans="1:10" thickBot="1" x14ac:dyDescent="0.35">
      <c r="B5" s="12"/>
      <c r="C5" s="12"/>
      <c r="D5" s="12"/>
      <c r="E5" s="12"/>
      <c r="F5" s="12"/>
      <c r="G5" s="13"/>
      <c r="H5" s="7"/>
    </row>
    <row r="6" spans="1:10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10" thickBot="1" x14ac:dyDescent="0.35">
      <c r="A7" s="138" t="str">
        <f>"020"</f>
        <v>020</v>
      </c>
      <c r="B7" s="156" t="str">
        <f>VLOOKUP(A7,MAT!A:H,2,0)</f>
        <v>Mezcla estabilizado granular</v>
      </c>
      <c r="C7" s="157" t="str">
        <f>VLOOKUP(A7,MAT!A:H,3,0)</f>
        <v>m3</v>
      </c>
      <c r="D7" s="158">
        <f>C4</f>
        <v>0.15</v>
      </c>
      <c r="E7" s="159">
        <f>VLOOKUP(A7,MAT!A:H,8,0)</f>
        <v>27303.599999999999</v>
      </c>
      <c r="F7" s="160">
        <f>+D7*E7</f>
        <v>4095.5399999999995</v>
      </c>
      <c r="G7" s="7"/>
      <c r="H7" s="7"/>
      <c r="J7" s="101"/>
    </row>
    <row r="8" spans="1:10" thickBot="1" x14ac:dyDescent="0.35">
      <c r="B8" s="17"/>
      <c r="C8" s="17"/>
      <c r="D8" s="18"/>
      <c r="E8" s="298" t="s">
        <v>36</v>
      </c>
      <c r="F8" s="299"/>
      <c r="G8" s="19">
        <f>+SUM(F7:F7)</f>
        <v>4095.5399999999995</v>
      </c>
      <c r="H8" s="11" t="s">
        <v>37</v>
      </c>
    </row>
    <row r="9" spans="1:10" thickBot="1" x14ac:dyDescent="0.35">
      <c r="B9" s="12"/>
      <c r="C9" s="12"/>
      <c r="D9" s="12"/>
      <c r="E9" s="20"/>
      <c r="F9" s="20"/>
      <c r="G9" s="17"/>
      <c r="H9" s="7"/>
    </row>
    <row r="10" spans="1:10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10" thickBot="1" x14ac:dyDescent="0.35">
      <c r="A11" s="138" t="str">
        <f>"020"</f>
        <v>020</v>
      </c>
      <c r="B11" s="156" t="str">
        <f>VLOOKUP(A11,TRANS!A:H,2,0)</f>
        <v>Mezcla estabilizado granular</v>
      </c>
      <c r="C11" s="157" t="str">
        <f>VLOOKUP(A11,TRANS!A:J,3,0)</f>
        <v>m3</v>
      </c>
      <c r="D11" s="158">
        <f>D7</f>
        <v>0.15</v>
      </c>
      <c r="E11" s="141">
        <f>VLOOKUP(A11,TRANS!A:J,5,0)</f>
        <v>10</v>
      </c>
      <c r="F11" s="160">
        <f>E11*D11</f>
        <v>1.5</v>
      </c>
      <c r="G11" s="7"/>
      <c r="H11" s="7"/>
    </row>
    <row r="12" spans="1:10" thickBot="1" x14ac:dyDescent="0.35">
      <c r="B12" s="17"/>
      <c r="C12" s="17"/>
      <c r="D12" s="24"/>
      <c r="E12" s="298" t="s">
        <v>64</v>
      </c>
      <c r="F12" s="308"/>
      <c r="G12" s="19">
        <f>+SUM(F11:F11)</f>
        <v>1.5</v>
      </c>
      <c r="H12" s="7" t="s">
        <v>37</v>
      </c>
    </row>
    <row r="13" spans="1:10" thickBot="1" x14ac:dyDescent="0.35">
      <c r="B13" s="13"/>
      <c r="C13" s="13"/>
      <c r="D13" s="13"/>
      <c r="E13" s="17"/>
      <c r="F13" s="17"/>
      <c r="G13" s="17"/>
      <c r="H13" s="7"/>
    </row>
    <row r="14" spans="1:10" ht="29.45" thickBot="1" x14ac:dyDescent="0.35">
      <c r="A14" s="74" t="s">
        <v>63</v>
      </c>
      <c r="B14" s="30" t="s">
        <v>39</v>
      </c>
      <c r="C14" s="31"/>
      <c r="D14" s="31"/>
      <c r="E14" s="31"/>
      <c r="F14" s="16" t="s">
        <v>35</v>
      </c>
      <c r="G14" s="7"/>
      <c r="H14" s="7"/>
    </row>
    <row r="15" spans="1:10" thickBot="1" x14ac:dyDescent="0.35">
      <c r="A15" s="138"/>
      <c r="B15" s="145" t="s">
        <v>113</v>
      </c>
      <c r="C15" s="140"/>
      <c r="D15" s="140"/>
      <c r="E15" s="146"/>
      <c r="F15" s="147">
        <f>3720.79*C4</f>
        <v>558.11849999999993</v>
      </c>
      <c r="G15" s="7"/>
      <c r="H15" s="7"/>
    </row>
    <row r="16" spans="1:10" thickBot="1" x14ac:dyDescent="0.35">
      <c r="B16" s="17"/>
      <c r="C16" s="17"/>
      <c r="D16" s="18"/>
      <c r="E16" s="298" t="s">
        <v>65</v>
      </c>
      <c r="F16" s="299"/>
      <c r="G16" s="19">
        <f>+SUM(F15:F15)</f>
        <v>558.11849999999993</v>
      </c>
      <c r="H16" s="7" t="s">
        <v>37</v>
      </c>
    </row>
    <row r="17" spans="1:8" thickBot="1" x14ac:dyDescent="0.35">
      <c r="B17" s="26"/>
      <c r="C17" s="27"/>
      <c r="D17" s="27"/>
      <c r="E17" s="84"/>
      <c r="F17" s="84"/>
      <c r="G17" s="85"/>
      <c r="H17" s="7"/>
    </row>
    <row r="18" spans="1:8" ht="29.45" thickBot="1" x14ac:dyDescent="0.35">
      <c r="A18" s="74" t="s">
        <v>63</v>
      </c>
      <c r="B18" s="30" t="s">
        <v>40</v>
      </c>
      <c r="C18" s="31"/>
      <c r="D18" s="31"/>
      <c r="E18" s="31"/>
      <c r="F18" s="16" t="s">
        <v>35</v>
      </c>
      <c r="G18" s="7"/>
      <c r="H18" s="7"/>
    </row>
    <row r="19" spans="1:8" thickBot="1" x14ac:dyDescent="0.35">
      <c r="A19" s="138"/>
      <c r="B19" s="145" t="s">
        <v>113</v>
      </c>
      <c r="C19" s="140"/>
      <c r="D19" s="140"/>
      <c r="E19" s="146"/>
      <c r="F19" s="147">
        <f>727.74*C4</f>
        <v>109.161</v>
      </c>
      <c r="G19" s="7"/>
      <c r="H19" s="7"/>
    </row>
    <row r="20" spans="1:8" ht="15.75" thickBot="1" x14ac:dyDescent="0.3">
      <c r="B20" s="17"/>
      <c r="C20" s="17"/>
      <c r="D20" s="18"/>
      <c r="E20" s="298" t="s">
        <v>192</v>
      </c>
      <c r="F20" s="299"/>
      <c r="G20" s="19">
        <f>+SUM(F19:F19)</f>
        <v>109.161</v>
      </c>
      <c r="H20" s="7" t="s">
        <v>37</v>
      </c>
    </row>
    <row r="21" spans="1:8" ht="15.75" thickBot="1" x14ac:dyDescent="0.3">
      <c r="B21" s="7"/>
      <c r="C21" s="7"/>
      <c r="D21" s="7"/>
      <c r="E21" s="7"/>
      <c r="F21" s="7"/>
      <c r="G21" s="7"/>
      <c r="H21" s="7"/>
    </row>
    <row r="22" spans="1:8" ht="15.75" thickBot="1" x14ac:dyDescent="0.3">
      <c r="E22" s="300" t="s">
        <v>66</v>
      </c>
      <c r="F22" s="301"/>
      <c r="G22" s="78">
        <f>+G16+G12+G8+G20</f>
        <v>4764.3194999999996</v>
      </c>
      <c r="H22" s="7" t="s">
        <v>37</v>
      </c>
    </row>
  </sheetData>
  <mergeCells count="9">
    <mergeCell ref="E20:F20"/>
    <mergeCell ref="E16:F16"/>
    <mergeCell ref="E22:F22"/>
    <mergeCell ref="B1:C1"/>
    <mergeCell ref="C2:G2"/>
    <mergeCell ref="E3:F3"/>
    <mergeCell ref="E4:F4"/>
    <mergeCell ref="E8:F8"/>
    <mergeCell ref="E12:F12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51"/>
  <sheetViews>
    <sheetView topLeftCell="C1" zoomScale="80" zoomScaleNormal="80" workbookViewId="0">
      <selection activeCell="J5" sqref="J5"/>
    </sheetView>
  </sheetViews>
  <sheetFormatPr baseColWidth="10" defaultRowHeight="15" x14ac:dyDescent="0.25"/>
  <cols>
    <col min="1" max="2" width="21.42578125" hidden="1" customWidth="1"/>
    <col min="4" max="4" width="58.85546875" bestFit="1" customWidth="1"/>
    <col min="5" max="5" width="11.42578125" customWidth="1"/>
    <col min="6" max="6" width="11.5703125" customWidth="1"/>
    <col min="7" max="7" width="18.140625" customWidth="1"/>
    <col min="8" max="8" width="23.28515625" bestFit="1" customWidth="1"/>
    <col min="9" max="9" width="21.28515625" bestFit="1" customWidth="1"/>
    <col min="10" max="10" width="24" bestFit="1" customWidth="1"/>
    <col min="11" max="11" width="16.7109375" customWidth="1"/>
  </cols>
  <sheetData>
    <row r="1" spans="1:14" x14ac:dyDescent="0.25">
      <c r="A1" t="s">
        <v>246</v>
      </c>
      <c r="C1" s="55">
        <v>60</v>
      </c>
    </row>
    <row r="2" spans="1:14" ht="14.45" x14ac:dyDescent="0.3">
      <c r="A2" t="s">
        <v>247</v>
      </c>
      <c r="C2" s="193">
        <v>8.1</v>
      </c>
    </row>
    <row r="4" spans="1:14" x14ac:dyDescent="0.25">
      <c r="A4" s="188" t="s">
        <v>108</v>
      </c>
      <c r="B4" s="188" t="s">
        <v>260</v>
      </c>
      <c r="C4" s="188" t="s">
        <v>238</v>
      </c>
      <c r="D4" s="189" t="s">
        <v>109</v>
      </c>
      <c r="E4" s="189" t="s">
        <v>0</v>
      </c>
      <c r="F4" s="189" t="s">
        <v>107</v>
      </c>
      <c r="G4" s="190" t="s">
        <v>165</v>
      </c>
      <c r="H4" s="190" t="s">
        <v>245</v>
      </c>
    </row>
    <row r="5" spans="1:14" ht="14.45" x14ac:dyDescent="0.3">
      <c r="A5" s="180" t="s">
        <v>110</v>
      </c>
      <c r="B5" s="180"/>
      <c r="C5" s="181" t="s">
        <v>10</v>
      </c>
      <c r="D5" s="182" t="s">
        <v>237</v>
      </c>
      <c r="E5" s="181" t="s">
        <v>2</v>
      </c>
      <c r="F5" s="181" t="s">
        <v>206</v>
      </c>
      <c r="G5" s="183">
        <v>799170.29</v>
      </c>
      <c r="H5" s="254">
        <f>569170.29*$C$1/$C$2</f>
        <v>4216076.2222222229</v>
      </c>
    </row>
    <row r="6" spans="1:14" x14ac:dyDescent="0.25">
      <c r="A6" s="180" t="s">
        <v>110</v>
      </c>
      <c r="B6" s="180"/>
      <c r="C6" s="181" t="s">
        <v>11</v>
      </c>
      <c r="D6" s="182" t="s">
        <v>160</v>
      </c>
      <c r="E6" s="181" t="s">
        <v>2</v>
      </c>
      <c r="F6" s="181" t="s">
        <v>206</v>
      </c>
      <c r="G6" s="183">
        <f>199595.89</f>
        <v>199595.89</v>
      </c>
      <c r="H6" s="192">
        <f>199595.89*$C$1/$C$2</f>
        <v>1478488.0740740742</v>
      </c>
    </row>
    <row r="7" spans="1:14" x14ac:dyDescent="0.25">
      <c r="A7" s="180" t="s">
        <v>110</v>
      </c>
      <c r="B7" s="180"/>
      <c r="C7" s="181" t="s">
        <v>12</v>
      </c>
      <c r="D7" s="182" t="s">
        <v>162</v>
      </c>
      <c r="E7" s="181" t="s">
        <v>4</v>
      </c>
      <c r="F7" s="181" t="s">
        <v>206</v>
      </c>
      <c r="G7" s="184">
        <v>351.83</v>
      </c>
      <c r="H7" s="192">
        <f>351.83*$C$1/$C$2</f>
        <v>2606.1481481481483</v>
      </c>
    </row>
    <row r="8" spans="1:14" x14ac:dyDescent="0.25">
      <c r="A8" s="180" t="s">
        <v>110</v>
      </c>
      <c r="B8" s="180"/>
      <c r="C8" s="181" t="s">
        <v>13</v>
      </c>
      <c r="D8" s="182" t="s">
        <v>161</v>
      </c>
      <c r="E8" s="181" t="s">
        <v>4</v>
      </c>
      <c r="F8" s="181" t="s">
        <v>206</v>
      </c>
      <c r="G8" s="184">
        <v>786.14</v>
      </c>
      <c r="H8" s="192">
        <f>786.14*$C$1/$C$2</f>
        <v>5823.25925925926</v>
      </c>
    </row>
    <row r="9" spans="1:14" x14ac:dyDescent="0.25">
      <c r="A9" s="180" t="s">
        <v>110</v>
      </c>
      <c r="B9" s="180"/>
      <c r="C9" s="181" t="s">
        <v>14</v>
      </c>
      <c r="D9" s="182" t="s">
        <v>6</v>
      </c>
      <c r="E9" s="181" t="s">
        <v>4</v>
      </c>
      <c r="F9" s="181" t="s">
        <v>206</v>
      </c>
      <c r="G9" s="183">
        <f>'1.5'!G22</f>
        <v>2937.0293999999999</v>
      </c>
      <c r="H9" s="192">
        <f>2937.0294*$C$1/$C$2</f>
        <v>21755.773333333334</v>
      </c>
    </row>
    <row r="10" spans="1:14" x14ac:dyDescent="0.25">
      <c r="A10" s="180" t="s">
        <v>110</v>
      </c>
      <c r="B10" s="180"/>
      <c r="C10" s="181" t="s">
        <v>15</v>
      </c>
      <c r="D10" s="182" t="s">
        <v>166</v>
      </c>
      <c r="E10" s="181" t="s">
        <v>7</v>
      </c>
      <c r="F10" s="181" t="s">
        <v>206</v>
      </c>
      <c r="G10" s="183">
        <f>2452*0.15</f>
        <v>367.8</v>
      </c>
      <c r="H10" s="192">
        <f>367.8*$C$1/$C$2</f>
        <v>2724.4444444444443</v>
      </c>
      <c r="N10" s="268"/>
    </row>
    <row r="11" spans="1:14" ht="14.45" x14ac:dyDescent="0.3">
      <c r="A11" s="180" t="s">
        <v>110</v>
      </c>
      <c r="B11" s="180"/>
      <c r="C11" s="181" t="s">
        <v>16</v>
      </c>
      <c r="D11" s="182" t="s">
        <v>170</v>
      </c>
      <c r="E11" s="181" t="s">
        <v>7</v>
      </c>
      <c r="F11" s="181" t="s">
        <v>206</v>
      </c>
      <c r="G11" s="183">
        <f>'1.7'!G21</f>
        <v>515.3932602000001</v>
      </c>
      <c r="H11" s="255">
        <f>515.3932602*$C$1/$C$2</f>
        <v>3817.7278533333333</v>
      </c>
      <c r="M11" s="269"/>
      <c r="N11" s="268"/>
    </row>
    <row r="12" spans="1:14" x14ac:dyDescent="0.25">
      <c r="A12" s="180" t="s">
        <v>114</v>
      </c>
      <c r="B12" s="180"/>
      <c r="C12" s="181" t="s">
        <v>18</v>
      </c>
      <c r="D12" s="182" t="s">
        <v>125</v>
      </c>
      <c r="E12" s="181" t="s">
        <v>7</v>
      </c>
      <c r="F12" s="181" t="s">
        <v>206</v>
      </c>
      <c r="G12" s="183">
        <f>'2.1'!G20</f>
        <v>8153.2417695999993</v>
      </c>
      <c r="H12" s="192">
        <f>8153.2417696*$C$1/$C$2</f>
        <v>60394.383478518517</v>
      </c>
      <c r="M12" s="269"/>
      <c r="N12" s="268"/>
    </row>
    <row r="13" spans="1:14" x14ac:dyDescent="0.25">
      <c r="A13" s="180" t="s">
        <v>114</v>
      </c>
      <c r="B13" s="180"/>
      <c r="C13" s="181" t="s">
        <v>17</v>
      </c>
      <c r="D13" s="182" t="s">
        <v>127</v>
      </c>
      <c r="E13" s="181" t="s">
        <v>7</v>
      </c>
      <c r="F13" s="181" t="s">
        <v>206</v>
      </c>
      <c r="G13" s="183">
        <f>'2.2'!G20</f>
        <v>9742.3045235200007</v>
      </c>
      <c r="H13" s="192">
        <f>9742.30452352*$C$1/$C$2</f>
        <v>72165.218692740746</v>
      </c>
      <c r="M13" s="269"/>
      <c r="N13" s="268"/>
    </row>
    <row r="14" spans="1:14" ht="14.45" x14ac:dyDescent="0.3">
      <c r="A14" s="180" t="s">
        <v>114</v>
      </c>
      <c r="B14" s="180"/>
      <c r="C14" s="181" t="s">
        <v>19</v>
      </c>
      <c r="D14" s="182" t="s">
        <v>182</v>
      </c>
      <c r="E14" s="181" t="s">
        <v>4</v>
      </c>
      <c r="F14" s="181" t="s">
        <v>206</v>
      </c>
      <c r="G14" s="183">
        <f>'2.3'!G22</f>
        <v>1021.2241000000001</v>
      </c>
      <c r="H14" s="255">
        <f>4500*$C$1/$C$2</f>
        <v>33333.333333333336</v>
      </c>
      <c r="M14" s="269"/>
      <c r="N14" s="268"/>
    </row>
    <row r="15" spans="1:14" ht="14.45" x14ac:dyDescent="0.3">
      <c r="A15" s="180" t="s">
        <v>114</v>
      </c>
      <c r="B15" s="180"/>
      <c r="C15" s="181" t="s">
        <v>20</v>
      </c>
      <c r="D15" s="182" t="s">
        <v>181</v>
      </c>
      <c r="E15" s="181" t="s">
        <v>4</v>
      </c>
      <c r="F15" s="181" t="s">
        <v>206</v>
      </c>
      <c r="G15" s="183">
        <f>'2.4'!G22</f>
        <v>1178.3354999999999</v>
      </c>
      <c r="H15" s="255">
        <f>4600*$C$1/$C$2</f>
        <v>34074.074074074073</v>
      </c>
      <c r="M15" s="269"/>
      <c r="N15" s="268"/>
    </row>
    <row r="16" spans="1:14" ht="14.45" x14ac:dyDescent="0.3">
      <c r="A16" s="180" t="s">
        <v>114</v>
      </c>
      <c r="B16" s="180"/>
      <c r="C16" s="181" t="s">
        <v>21</v>
      </c>
      <c r="D16" s="182" t="s">
        <v>179</v>
      </c>
      <c r="E16" s="181" t="s">
        <v>4</v>
      </c>
      <c r="F16" s="181" t="s">
        <v>206</v>
      </c>
      <c r="G16" s="183">
        <f>'2.5'!G22</f>
        <v>1571.114</v>
      </c>
      <c r="H16" s="255">
        <f>5000*$C$1/$C$2</f>
        <v>37037.037037037036</v>
      </c>
      <c r="M16" s="269"/>
      <c r="N16" s="268"/>
    </row>
    <row r="17" spans="1:14" ht="14.45" x14ac:dyDescent="0.3">
      <c r="A17" s="180" t="s">
        <v>114</v>
      </c>
      <c r="B17" s="180"/>
      <c r="C17" s="181" t="s">
        <v>22</v>
      </c>
      <c r="D17" s="182" t="s">
        <v>180</v>
      </c>
      <c r="E17" s="181" t="s">
        <v>4</v>
      </c>
      <c r="F17" s="181" t="s">
        <v>206</v>
      </c>
      <c r="G17" s="183">
        <f>'2.6'!G21</f>
        <v>2356.6709999999998</v>
      </c>
      <c r="H17" s="255">
        <f>5600*$C$1/$C$2</f>
        <v>41481.481481481482</v>
      </c>
      <c r="M17" s="269"/>
      <c r="N17" s="268"/>
    </row>
    <row r="18" spans="1:14" x14ac:dyDescent="0.25">
      <c r="A18" s="180" t="s">
        <v>114</v>
      </c>
      <c r="B18" s="180"/>
      <c r="C18" s="181" t="s">
        <v>23</v>
      </c>
      <c r="D18" s="182" t="s">
        <v>236</v>
      </c>
      <c r="E18" s="181" t="s">
        <v>7</v>
      </c>
      <c r="F18" s="181" t="s">
        <v>206</v>
      </c>
      <c r="G18" s="183">
        <f>'2.7'!G20</f>
        <v>1142.7860000000001</v>
      </c>
      <c r="H18" s="192">
        <f>1142.786*$C$1/$C$2</f>
        <v>8465.0814814814821</v>
      </c>
    </row>
    <row r="19" spans="1:14" x14ac:dyDescent="0.25">
      <c r="A19" s="180" t="s">
        <v>114</v>
      </c>
      <c r="B19" s="180"/>
      <c r="C19" s="181" t="s">
        <v>24</v>
      </c>
      <c r="D19" s="182" t="s">
        <v>235</v>
      </c>
      <c r="E19" s="181" t="s">
        <v>7</v>
      </c>
      <c r="F19" s="181" t="s">
        <v>206</v>
      </c>
      <c r="G19" s="183">
        <f>'2.8'!G20</f>
        <v>1714.1789999999999</v>
      </c>
      <c r="H19" s="192">
        <f>1714.179*$C$1/$C$2</f>
        <v>12697.622222222224</v>
      </c>
    </row>
    <row r="20" spans="1:14" x14ac:dyDescent="0.25">
      <c r="A20" s="180" t="s">
        <v>114</v>
      </c>
      <c r="B20" s="180"/>
      <c r="C20" s="181" t="s">
        <v>25</v>
      </c>
      <c r="D20" s="182" t="s">
        <v>234</v>
      </c>
      <c r="E20" s="181" t="s">
        <v>7</v>
      </c>
      <c r="F20" s="181" t="s">
        <v>206</v>
      </c>
      <c r="G20" s="183">
        <f>'2.9'!G20</f>
        <v>2285.5720000000001</v>
      </c>
      <c r="H20" s="192">
        <f>2285.572*$C$1/$C$2</f>
        <v>16930.162962962964</v>
      </c>
      <c r="L20" s="284"/>
      <c r="M20" s="284"/>
      <c r="N20" s="290"/>
    </row>
    <row r="21" spans="1:14" ht="14.45" customHeight="1" x14ac:dyDescent="0.25">
      <c r="A21" s="180" t="s">
        <v>114</v>
      </c>
      <c r="B21" s="180"/>
      <c r="C21" s="181" t="s">
        <v>26</v>
      </c>
      <c r="D21" s="182" t="s">
        <v>140</v>
      </c>
      <c r="E21" s="181" t="s">
        <v>7</v>
      </c>
      <c r="F21" s="181" t="s">
        <v>206</v>
      </c>
      <c r="G21" s="183">
        <f>'2.10'!G20</f>
        <v>689.10550000000001</v>
      </c>
      <c r="H21" s="192">
        <f>689.1055*$C$1/$C$2</f>
        <v>5104.4851851851854</v>
      </c>
      <c r="L21" s="284"/>
      <c r="M21" s="284"/>
      <c r="N21" s="290"/>
    </row>
    <row r="22" spans="1:14" ht="14.45" customHeight="1" x14ac:dyDescent="0.25">
      <c r="A22" s="180" t="s">
        <v>114</v>
      </c>
      <c r="B22" s="180"/>
      <c r="C22" s="181" t="s">
        <v>136</v>
      </c>
      <c r="D22" s="182" t="s">
        <v>142</v>
      </c>
      <c r="E22" s="181" t="s">
        <v>7</v>
      </c>
      <c r="F22" s="181" t="s">
        <v>206</v>
      </c>
      <c r="G22" s="183">
        <f>'2.11'!G20</f>
        <v>1033.6582500000002</v>
      </c>
      <c r="H22" s="192">
        <f>1033.65825*$C$1/$C$2</f>
        <v>7656.7277777777772</v>
      </c>
      <c r="L22" s="284"/>
      <c r="M22" s="284"/>
      <c r="N22" s="290"/>
    </row>
    <row r="23" spans="1:14" ht="15" customHeight="1" x14ac:dyDescent="0.3">
      <c r="A23" s="180" t="s">
        <v>114</v>
      </c>
      <c r="B23" s="180"/>
      <c r="C23" s="181" t="s">
        <v>137</v>
      </c>
      <c r="D23" s="182" t="s">
        <v>141</v>
      </c>
      <c r="E23" s="181" t="s">
        <v>7</v>
      </c>
      <c r="F23" s="181" t="s">
        <v>206</v>
      </c>
      <c r="G23" s="183">
        <f>'2.12'!G20</f>
        <v>1378.211</v>
      </c>
      <c r="H23" s="192">
        <f>1378.211*$C$1/$C$2</f>
        <v>10208.970370370371</v>
      </c>
    </row>
    <row r="24" spans="1:14" ht="14.45" x14ac:dyDescent="0.3">
      <c r="A24" s="180" t="s">
        <v>114</v>
      </c>
      <c r="B24" s="180"/>
      <c r="C24" s="181" t="s">
        <v>139</v>
      </c>
      <c r="D24" s="182" t="s">
        <v>158</v>
      </c>
      <c r="E24" s="181" t="s">
        <v>7</v>
      </c>
      <c r="F24" s="181" t="s">
        <v>206</v>
      </c>
      <c r="G24" s="183">
        <f>'2.13'!G22</f>
        <v>4764.3194999999996</v>
      </c>
      <c r="H24" s="192">
        <f>4764.3195*$C$1/$C$2</f>
        <v>35291.255555555552</v>
      </c>
    </row>
    <row r="25" spans="1:14" ht="14.45" x14ac:dyDescent="0.3">
      <c r="A25" s="180" t="s">
        <v>114</v>
      </c>
      <c r="B25" s="180"/>
      <c r="C25" s="181" t="s">
        <v>157</v>
      </c>
      <c r="D25" s="182" t="s">
        <v>159</v>
      </c>
      <c r="E25" s="181" t="s">
        <v>7</v>
      </c>
      <c r="F25" s="181" t="s">
        <v>206</v>
      </c>
      <c r="G25" s="183">
        <f>'2.14'!G22</f>
        <v>6352.4260000000004</v>
      </c>
      <c r="H25" s="192">
        <f>6352.426*$C$1/$C$2</f>
        <v>47055.007407407407</v>
      </c>
    </row>
    <row r="26" spans="1:14" ht="14.45" x14ac:dyDescent="0.3">
      <c r="A26" s="180" t="s">
        <v>115</v>
      </c>
      <c r="B26" s="180"/>
      <c r="C26" s="181" t="s">
        <v>1</v>
      </c>
      <c r="D26" s="182" t="s">
        <v>128</v>
      </c>
      <c r="E26" s="181" t="s">
        <v>7</v>
      </c>
      <c r="F26" s="181" t="s">
        <v>206</v>
      </c>
      <c r="G26" s="183">
        <f>'3.1'!G33</f>
        <v>1350.4403016666665</v>
      </c>
      <c r="H26" s="255">
        <f>1900*$C$1/$C$2</f>
        <v>14074.074074074075</v>
      </c>
    </row>
    <row r="27" spans="1:14" ht="14.45" x14ac:dyDescent="0.3">
      <c r="A27" s="180" t="s">
        <v>115</v>
      </c>
      <c r="B27" s="180"/>
      <c r="C27" s="181" t="s">
        <v>3</v>
      </c>
      <c r="D27" s="182" t="s">
        <v>129</v>
      </c>
      <c r="E27" s="181" t="s">
        <v>7</v>
      </c>
      <c r="F27" s="181" t="s">
        <v>206</v>
      </c>
      <c r="G27" s="183">
        <f>'3.2'!G33</f>
        <v>1570.1846519999999</v>
      </c>
      <c r="H27" s="255">
        <f>2300*$C$1/$C$2</f>
        <v>17037.037037037036</v>
      </c>
    </row>
    <row r="28" spans="1:14" ht="14.45" x14ac:dyDescent="0.3">
      <c r="A28" s="180" t="s">
        <v>115</v>
      </c>
      <c r="B28" s="180"/>
      <c r="C28" s="181" t="s">
        <v>5</v>
      </c>
      <c r="D28" s="182" t="s">
        <v>130</v>
      </c>
      <c r="E28" s="181" t="s">
        <v>7</v>
      </c>
      <c r="F28" s="181" t="s">
        <v>206</v>
      </c>
      <c r="G28" s="183">
        <f>'3.3'!G33</f>
        <v>1789.9290023333335</v>
      </c>
      <c r="H28" s="255">
        <f>2700*$C$1/$C$2</f>
        <v>20000</v>
      </c>
    </row>
    <row r="29" spans="1:14" x14ac:dyDescent="0.25">
      <c r="A29" s="180" t="s">
        <v>116</v>
      </c>
      <c r="B29" s="180"/>
      <c r="C29" s="181" t="s">
        <v>117</v>
      </c>
      <c r="D29" s="182" t="s">
        <v>252</v>
      </c>
      <c r="E29" s="181" t="s">
        <v>7</v>
      </c>
      <c r="F29" s="181" t="s">
        <v>206</v>
      </c>
      <c r="G29" s="183">
        <f>'4.1'!G28</f>
        <v>8045.9056944000004</v>
      </c>
      <c r="H29" s="192">
        <f>8045.9056944*$C$1/$C$2</f>
        <v>59599.301440000003</v>
      </c>
    </row>
    <row r="30" spans="1:14" x14ac:dyDescent="0.25">
      <c r="A30" s="180" t="s">
        <v>116</v>
      </c>
      <c r="B30" s="180"/>
      <c r="C30" s="181" t="s">
        <v>118</v>
      </c>
      <c r="D30" s="182" t="s">
        <v>253</v>
      </c>
      <c r="E30" s="181" t="s">
        <v>7</v>
      </c>
      <c r="F30" s="181" t="s">
        <v>206</v>
      </c>
      <c r="G30" s="183">
        <f>'4.2'!G28</f>
        <v>9976.0282387200023</v>
      </c>
      <c r="H30" s="192">
        <f>9976.02823872*$C$1/$C$2</f>
        <v>73896.505472000004</v>
      </c>
    </row>
    <row r="31" spans="1:14" x14ac:dyDescent="0.25">
      <c r="A31" s="180" t="s">
        <v>116</v>
      </c>
      <c r="B31" s="180"/>
      <c r="C31" s="181" t="s">
        <v>119</v>
      </c>
      <c r="D31" s="182" t="s">
        <v>249</v>
      </c>
      <c r="E31" s="181" t="s">
        <v>7</v>
      </c>
      <c r="F31" s="181" t="s">
        <v>206</v>
      </c>
      <c r="G31" s="183">
        <f>'4.3'!G28</f>
        <v>11285.133401600002</v>
      </c>
      <c r="H31" s="192">
        <f>11285.1334016*$C$1/$C$2</f>
        <v>83593.580752592592</v>
      </c>
    </row>
    <row r="32" spans="1:14" x14ac:dyDescent="0.25">
      <c r="A32" s="180" t="s">
        <v>116</v>
      </c>
      <c r="B32" s="180"/>
      <c r="C32" s="181" t="s">
        <v>132</v>
      </c>
      <c r="D32" s="182" t="s">
        <v>251</v>
      </c>
      <c r="E32" s="181" t="s">
        <v>7</v>
      </c>
      <c r="F32" s="181" t="s">
        <v>206</v>
      </c>
      <c r="G32" s="183">
        <f>'4.4'!G28</f>
        <v>13248.791145920002</v>
      </c>
      <c r="H32" s="192">
        <f>13248.79114592*$C$1/$C$2</f>
        <v>98139.193673481495</v>
      </c>
    </row>
    <row r="33" spans="1:8" x14ac:dyDescent="0.25">
      <c r="A33" s="180" t="s">
        <v>116</v>
      </c>
      <c r="B33" s="180"/>
      <c r="C33" s="181" t="s">
        <v>232</v>
      </c>
      <c r="D33" s="182" t="s">
        <v>250</v>
      </c>
      <c r="E33" s="181" t="s">
        <v>7</v>
      </c>
      <c r="F33" s="181" t="s">
        <v>206</v>
      </c>
      <c r="G33" s="183">
        <f>'4.5'!G28</f>
        <v>14557.896308800002</v>
      </c>
      <c r="H33" s="192">
        <f>14557.8963088*$C$1/$C$2</f>
        <v>107836.26895407408</v>
      </c>
    </row>
    <row r="34" spans="1:8" x14ac:dyDescent="0.25">
      <c r="A34" s="180" t="s">
        <v>120</v>
      </c>
      <c r="B34" s="180"/>
      <c r="C34" s="181" t="s">
        <v>121</v>
      </c>
      <c r="D34" s="182" t="s">
        <v>146</v>
      </c>
      <c r="E34" s="181" t="s">
        <v>7</v>
      </c>
      <c r="F34" s="181" t="s">
        <v>206</v>
      </c>
      <c r="G34" s="183">
        <f>'5.1'!G18</f>
        <v>329.59000000000003</v>
      </c>
      <c r="H34" s="192">
        <f>329.59*$C$1/$C$2</f>
        <v>2441.4074074074074</v>
      </c>
    </row>
    <row r="35" spans="1:8" x14ac:dyDescent="0.25">
      <c r="A35" s="180" t="s">
        <v>120</v>
      </c>
      <c r="B35" s="180"/>
      <c r="C35" s="181" t="s">
        <v>122</v>
      </c>
      <c r="D35" s="182" t="s">
        <v>150</v>
      </c>
      <c r="E35" s="181" t="s">
        <v>7</v>
      </c>
      <c r="F35" s="181" t="s">
        <v>206</v>
      </c>
      <c r="G35" s="183">
        <f>'5.2'!G18</f>
        <v>659.18000000000006</v>
      </c>
      <c r="H35" s="192">
        <f>659.18*$C$1/$C$2</f>
        <v>4882.8148148148148</v>
      </c>
    </row>
    <row r="36" spans="1:8" x14ac:dyDescent="0.25">
      <c r="A36" s="180" t="s">
        <v>120</v>
      </c>
      <c r="B36" s="180"/>
      <c r="C36" s="181" t="s">
        <v>147</v>
      </c>
      <c r="D36" s="182" t="s">
        <v>151</v>
      </c>
      <c r="E36" s="181" t="s">
        <v>7</v>
      </c>
      <c r="F36" s="181" t="s">
        <v>206</v>
      </c>
      <c r="G36" s="183">
        <f>'5.3'!G18</f>
        <v>988.77</v>
      </c>
      <c r="H36" s="192">
        <f>988.77*$C$1/$C$2</f>
        <v>7324.2222222222226</v>
      </c>
    </row>
    <row r="37" spans="1:8" x14ac:dyDescent="0.25">
      <c r="A37" s="180" t="s">
        <v>120</v>
      </c>
      <c r="B37" s="180"/>
      <c r="C37" s="181" t="s">
        <v>148</v>
      </c>
      <c r="D37" s="182" t="s">
        <v>152</v>
      </c>
      <c r="E37" s="181" t="s">
        <v>7</v>
      </c>
      <c r="F37" s="181" t="s">
        <v>206</v>
      </c>
      <c r="G37" s="183">
        <f>'5.4'!G18</f>
        <v>1318.3600000000001</v>
      </c>
      <c r="H37" s="192">
        <f>1318.36*$C$1/$C$2</f>
        <v>9765.6296296296296</v>
      </c>
    </row>
    <row r="38" spans="1:8" x14ac:dyDescent="0.25">
      <c r="A38" s="180" t="s">
        <v>120</v>
      </c>
      <c r="B38" s="180"/>
      <c r="C38" s="181" t="s">
        <v>149</v>
      </c>
      <c r="D38" s="182" t="s">
        <v>174</v>
      </c>
      <c r="E38" s="181" t="s">
        <v>7</v>
      </c>
      <c r="F38" s="181" t="s">
        <v>206</v>
      </c>
      <c r="G38" s="183">
        <f>'5.5'!G18</f>
        <v>919.65440000000012</v>
      </c>
      <c r="H38" s="192">
        <f>919.6544*$C$1/$C$2</f>
        <v>6812.2548148148153</v>
      </c>
    </row>
    <row r="39" spans="1:8" x14ac:dyDescent="0.25">
      <c r="A39" s="180" t="s">
        <v>120</v>
      </c>
      <c r="B39" s="180"/>
      <c r="C39" s="181" t="s">
        <v>153</v>
      </c>
      <c r="D39" s="182" t="s">
        <v>175</v>
      </c>
      <c r="E39" s="181" t="s">
        <v>7</v>
      </c>
      <c r="F39" s="181" t="s">
        <v>206</v>
      </c>
      <c r="G39" s="183">
        <f>'5.6'!G18</f>
        <v>1839.3088000000002</v>
      </c>
      <c r="H39" s="192">
        <f>1839.3088*$C$1/$C$2</f>
        <v>13624.509629629631</v>
      </c>
    </row>
    <row r="40" spans="1:8" x14ac:dyDescent="0.25">
      <c r="A40" s="180" t="s">
        <v>120</v>
      </c>
      <c r="B40" s="180"/>
      <c r="C40" s="181" t="s">
        <v>154</v>
      </c>
      <c r="D40" s="182" t="s">
        <v>176</v>
      </c>
      <c r="E40" s="181" t="s">
        <v>7</v>
      </c>
      <c r="F40" s="181" t="s">
        <v>206</v>
      </c>
      <c r="G40" s="183">
        <f>'5.7'!G18</f>
        <v>2758.9632000000001</v>
      </c>
      <c r="H40" s="192">
        <f>2758.9632*$C$1/$C$2</f>
        <v>20436.764444444449</v>
      </c>
    </row>
    <row r="41" spans="1:8" x14ac:dyDescent="0.25">
      <c r="A41" s="171" t="s">
        <v>123</v>
      </c>
      <c r="B41" s="171"/>
      <c r="C41" s="185" t="s">
        <v>124</v>
      </c>
      <c r="D41" s="186" t="s">
        <v>195</v>
      </c>
      <c r="E41" s="185" t="s">
        <v>9</v>
      </c>
      <c r="F41" s="185" t="s">
        <v>206</v>
      </c>
      <c r="G41" s="187">
        <v>8424</v>
      </c>
      <c r="H41" s="255">
        <f>Tabla1[[#This Row],[P. U. (nov-2023)]]*$C$1/$C$2</f>
        <v>62400</v>
      </c>
    </row>
    <row r="42" spans="1:8" ht="15.75" thickBot="1" x14ac:dyDescent="0.3">
      <c r="A42" s="180" t="s">
        <v>110</v>
      </c>
      <c r="B42" s="180"/>
      <c r="C42" s="185" t="s">
        <v>261</v>
      </c>
      <c r="D42" s="182" t="s">
        <v>259</v>
      </c>
      <c r="E42" s="181" t="s">
        <v>7</v>
      </c>
      <c r="F42" s="185" t="s">
        <v>206</v>
      </c>
      <c r="G42" s="187">
        <f>'5.7'!G20</f>
        <v>0</v>
      </c>
      <c r="H42" s="192">
        <f>2758.9632*$C$1/$C$2</f>
        <v>20436.764444444449</v>
      </c>
    </row>
    <row r="43" spans="1:8" ht="15.75" thickBot="1" x14ac:dyDescent="0.3">
      <c r="A43" s="174" t="s">
        <v>222</v>
      </c>
      <c r="B43" s="257"/>
      <c r="C43" s="185" t="s">
        <v>262</v>
      </c>
      <c r="D43" s="182" t="s">
        <v>263</v>
      </c>
      <c r="E43" s="181" t="s">
        <v>9</v>
      </c>
      <c r="F43" s="265" t="s">
        <v>206</v>
      </c>
      <c r="G43" s="266">
        <f>'6.1'!G28</f>
        <v>0</v>
      </c>
      <c r="H43" s="192">
        <f>6350.4*$C$1/$C$2</f>
        <v>47040</v>
      </c>
    </row>
    <row r="44" spans="1:8" x14ac:dyDescent="0.25">
      <c r="A44" s="260"/>
      <c r="B44" s="171"/>
      <c r="C44" s="185" t="s">
        <v>264</v>
      </c>
      <c r="D44" s="263" t="s">
        <v>265</v>
      </c>
      <c r="E44" s="181" t="s">
        <v>9</v>
      </c>
      <c r="F44" s="267" t="s">
        <v>206</v>
      </c>
      <c r="G44" s="264">
        <f>'6.1'!G29</f>
        <v>0</v>
      </c>
      <c r="H44" s="192">
        <f>2106*$C$1/$C$2</f>
        <v>15600</v>
      </c>
    </row>
    <row r="45" spans="1:8" x14ac:dyDescent="0.25">
      <c r="A45" s="259"/>
      <c r="B45" s="171"/>
      <c r="C45" s="185" t="s">
        <v>266</v>
      </c>
      <c r="D45" s="182" t="s">
        <v>273</v>
      </c>
      <c r="E45" s="181" t="s">
        <v>7</v>
      </c>
      <c r="F45" s="265" t="s">
        <v>206</v>
      </c>
      <c r="G45" s="266">
        <f>'6.1'!G30</f>
        <v>0</v>
      </c>
      <c r="H45" s="192">
        <f>4276.8*C1/C2</f>
        <v>31680</v>
      </c>
    </row>
    <row r="46" spans="1:8" x14ac:dyDescent="0.25">
      <c r="A46" s="259"/>
      <c r="B46" s="33"/>
      <c r="C46" s="185" t="s">
        <v>267</v>
      </c>
      <c r="D46" s="263" t="s">
        <v>274</v>
      </c>
      <c r="E46" s="181" t="s">
        <v>7</v>
      </c>
      <c r="F46" s="267" t="s">
        <v>206</v>
      </c>
      <c r="G46" s="264">
        <f>'6.1'!G31</f>
        <v>0</v>
      </c>
      <c r="H46" s="192">
        <f>61674.049*C1/C2</f>
        <v>456844.80740740744</v>
      </c>
    </row>
    <row r="47" spans="1:8" x14ac:dyDescent="0.25">
      <c r="A47" s="259"/>
      <c r="B47" s="33"/>
      <c r="C47" s="185" t="s">
        <v>268</v>
      </c>
      <c r="D47" s="182"/>
      <c r="E47" s="181"/>
      <c r="F47" s="265" t="s">
        <v>206</v>
      </c>
      <c r="G47" s="266">
        <f>'6.1'!G32</f>
        <v>0</v>
      </c>
      <c r="H47" s="192"/>
    </row>
    <row r="48" spans="1:8" x14ac:dyDescent="0.25">
      <c r="A48" s="259"/>
      <c r="B48" s="33"/>
      <c r="C48" s="185" t="s">
        <v>269</v>
      </c>
      <c r="D48" s="263"/>
      <c r="E48" s="181"/>
      <c r="F48" s="267" t="s">
        <v>206</v>
      </c>
      <c r="G48" s="264">
        <f>'6.1'!G33</f>
        <v>0</v>
      </c>
      <c r="H48" s="192"/>
    </row>
    <row r="49" spans="1:8" x14ac:dyDescent="0.25">
      <c r="A49" s="259"/>
      <c r="B49" s="33"/>
      <c r="C49" s="185" t="s">
        <v>270</v>
      </c>
      <c r="D49" s="182"/>
      <c r="E49" s="181"/>
      <c r="F49" s="265" t="s">
        <v>206</v>
      </c>
      <c r="G49" s="266">
        <f>'6.1'!G34</f>
        <v>0</v>
      </c>
      <c r="H49" s="192"/>
    </row>
    <row r="50" spans="1:8" x14ac:dyDescent="0.25">
      <c r="A50" s="259"/>
      <c r="B50" s="33"/>
      <c r="C50" s="185" t="s">
        <v>271</v>
      </c>
      <c r="D50" s="263"/>
      <c r="E50" s="181"/>
      <c r="F50" s="267" t="s">
        <v>206</v>
      </c>
      <c r="G50" s="264">
        <f>'6.1'!G35</f>
        <v>0</v>
      </c>
      <c r="H50" s="192"/>
    </row>
    <row r="51" spans="1:8" x14ac:dyDescent="0.25">
      <c r="A51" s="259"/>
      <c r="B51" s="33"/>
      <c r="C51" s="185" t="s">
        <v>272</v>
      </c>
      <c r="D51" s="182"/>
      <c r="E51" s="181"/>
      <c r="F51" s="265" t="s">
        <v>206</v>
      </c>
      <c r="G51" s="266">
        <f>'6.1'!G36</f>
        <v>0</v>
      </c>
      <c r="H51" s="192"/>
    </row>
  </sheetData>
  <mergeCells count="3">
    <mergeCell ref="L20:L22"/>
    <mergeCell ref="M20:M22"/>
    <mergeCell ref="N20:N22"/>
  </mergeCells>
  <phoneticPr fontId="6" type="noConversion"/>
  <pageMargins left="0.7" right="0.7" top="0.75" bottom="0.75" header="0.3" footer="0.3"/>
  <pageSetup paperSize="9" orientation="portrait" verticalDpi="300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1">
    <tabColor theme="9"/>
  </sheetPr>
  <dimension ref="A1:O22"/>
  <sheetViews>
    <sheetView workbookViewId="0">
      <selection activeCell="H13" sqref="H13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</cols>
  <sheetData>
    <row r="1" spans="1:15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5" ht="16.5" thickBot="1" x14ac:dyDescent="0.3">
      <c r="B2" s="8" t="s">
        <v>28</v>
      </c>
      <c r="C2" s="304" t="s">
        <v>186</v>
      </c>
      <c r="D2" s="304"/>
      <c r="E2" s="304"/>
      <c r="F2" s="304"/>
      <c r="G2" s="305"/>
      <c r="H2" s="7"/>
    </row>
    <row r="3" spans="1:15" ht="15.75" thickBot="1" x14ac:dyDescent="0.3">
      <c r="B3" s="8" t="s">
        <v>112</v>
      </c>
      <c r="C3" s="9" t="s">
        <v>139</v>
      </c>
      <c r="D3" s="3"/>
      <c r="E3" s="306" t="s">
        <v>30</v>
      </c>
      <c r="F3" s="307"/>
      <c r="G3" s="76" t="s">
        <v>7</v>
      </c>
      <c r="H3" s="7"/>
    </row>
    <row r="4" spans="1:15" thickBot="1" x14ac:dyDescent="0.35">
      <c r="B4" s="8" t="s">
        <v>42</v>
      </c>
      <c r="C4" s="77">
        <v>0.2</v>
      </c>
      <c r="D4" s="3" t="s">
        <v>43</v>
      </c>
      <c r="E4" s="306"/>
      <c r="F4" s="307"/>
      <c r="G4" s="79"/>
      <c r="H4" s="11"/>
    </row>
    <row r="5" spans="1:15" thickBot="1" x14ac:dyDescent="0.35">
      <c r="B5" s="12"/>
      <c r="C5" s="12"/>
      <c r="D5" s="12"/>
      <c r="E5" s="12"/>
      <c r="F5" s="12"/>
      <c r="G5" s="13"/>
      <c r="H5" s="7"/>
    </row>
    <row r="6" spans="1:15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15" thickBot="1" x14ac:dyDescent="0.35">
      <c r="A7" s="138" t="str">
        <f>"020"</f>
        <v>020</v>
      </c>
      <c r="B7" s="156" t="str">
        <f>VLOOKUP(A7,MAT!A:H,2,0)</f>
        <v>Mezcla estabilizado granular</v>
      </c>
      <c r="C7" s="157" t="str">
        <f>VLOOKUP(A7,MAT!A:H,3,0)</f>
        <v>m3</v>
      </c>
      <c r="D7" s="158">
        <f>C4</f>
        <v>0.2</v>
      </c>
      <c r="E7" s="159">
        <f>VLOOKUP(A7,MAT!A:H,8,0)</f>
        <v>27303.599999999999</v>
      </c>
      <c r="F7" s="160">
        <f>+D7*E7</f>
        <v>5460.72</v>
      </c>
      <c r="G7" s="7"/>
      <c r="H7" s="7"/>
      <c r="J7" s="101"/>
    </row>
    <row r="8" spans="1:15" thickBot="1" x14ac:dyDescent="0.35">
      <c r="B8" s="17"/>
      <c r="C8" s="17"/>
      <c r="D8" s="18"/>
      <c r="E8" s="298" t="s">
        <v>36</v>
      </c>
      <c r="F8" s="299"/>
      <c r="G8" s="19">
        <f>+SUM(F7:F7)</f>
        <v>5460.72</v>
      </c>
      <c r="H8" s="11" t="s">
        <v>37</v>
      </c>
    </row>
    <row r="9" spans="1:15" thickBot="1" x14ac:dyDescent="0.35">
      <c r="B9" s="12"/>
      <c r="C9" s="12"/>
      <c r="D9" s="12"/>
      <c r="E9" s="20"/>
      <c r="F9" s="20"/>
      <c r="G9" s="17"/>
      <c r="H9" s="7"/>
    </row>
    <row r="10" spans="1:15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15" thickBot="1" x14ac:dyDescent="0.35">
      <c r="A11" s="138" t="str">
        <f>"020"</f>
        <v>020</v>
      </c>
      <c r="B11" s="156" t="str">
        <f>VLOOKUP(A11,TRANS!A:H,2,0)</f>
        <v>Mezcla estabilizado granular</v>
      </c>
      <c r="C11" s="157" t="str">
        <f>VLOOKUP(A11,TRANS!A:J,3,0)</f>
        <v>m3</v>
      </c>
      <c r="D11" s="158">
        <f>D7</f>
        <v>0.2</v>
      </c>
      <c r="E11" s="141">
        <f>VLOOKUP(A11,TRANS!A:J,5,0)</f>
        <v>10</v>
      </c>
      <c r="F11" s="160">
        <f>D11*E11</f>
        <v>2</v>
      </c>
      <c r="G11" s="7"/>
      <c r="H11" s="7"/>
      <c r="M11" t="s">
        <v>187</v>
      </c>
      <c r="N11" t="s">
        <v>8</v>
      </c>
      <c r="O11" t="s">
        <v>8</v>
      </c>
    </row>
    <row r="12" spans="1:15" thickBot="1" x14ac:dyDescent="0.35">
      <c r="B12" s="17"/>
      <c r="C12" s="17"/>
      <c r="D12" s="24"/>
      <c r="E12" s="298" t="s">
        <v>64</v>
      </c>
      <c r="F12" s="308"/>
      <c r="G12" s="19">
        <f>+SUM(F11:F11)</f>
        <v>2</v>
      </c>
      <c r="H12" s="7" t="s">
        <v>37</v>
      </c>
      <c r="M12" t="e">
        <f>#REF!*#REF!+#REF!*#REF!+#REF!*#REF!+#REF!*#REF!</f>
        <v>#REF!</v>
      </c>
    </row>
    <row r="13" spans="1:15" thickBot="1" x14ac:dyDescent="0.35">
      <c r="B13" s="13"/>
      <c r="C13" s="13"/>
      <c r="D13" s="13"/>
      <c r="E13" s="17"/>
      <c r="F13" s="17"/>
      <c r="G13" s="17"/>
      <c r="H13" s="7"/>
    </row>
    <row r="14" spans="1:15" ht="29.45" thickBot="1" x14ac:dyDescent="0.35">
      <c r="A14" s="74" t="s">
        <v>63</v>
      </c>
      <c r="B14" s="30" t="s">
        <v>39</v>
      </c>
      <c r="C14" s="31"/>
      <c r="D14" s="31"/>
      <c r="E14" s="31"/>
      <c r="F14" s="16" t="s">
        <v>35</v>
      </c>
      <c r="G14" s="7"/>
      <c r="H14" s="7"/>
    </row>
    <row r="15" spans="1:15" thickBot="1" x14ac:dyDescent="0.35">
      <c r="A15" s="162"/>
      <c r="B15" s="145" t="s">
        <v>113</v>
      </c>
      <c r="C15" s="140"/>
      <c r="D15" s="140"/>
      <c r="E15" s="146"/>
      <c r="F15" s="147">
        <f>3720.79*C4</f>
        <v>744.15800000000002</v>
      </c>
      <c r="G15" s="7"/>
      <c r="H15" s="7"/>
    </row>
    <row r="16" spans="1:15" thickBot="1" x14ac:dyDescent="0.35">
      <c r="B16" s="17"/>
      <c r="C16" s="17"/>
      <c r="D16" s="18"/>
      <c r="E16" s="298" t="s">
        <v>65</v>
      </c>
      <c r="F16" s="299"/>
      <c r="G16" s="19">
        <f>+SUM(F15:F15)</f>
        <v>744.15800000000002</v>
      </c>
      <c r="H16" s="7" t="s">
        <v>37</v>
      </c>
    </row>
    <row r="17" spans="1:8" thickBot="1" x14ac:dyDescent="0.35">
      <c r="B17" s="26"/>
      <c r="C17" s="27"/>
      <c r="D17" s="27"/>
      <c r="E17" s="84"/>
      <c r="F17" s="84"/>
      <c r="G17" s="85"/>
      <c r="H17" s="7"/>
    </row>
    <row r="18" spans="1:8" ht="29.45" thickBot="1" x14ac:dyDescent="0.35">
      <c r="A18" s="74" t="s">
        <v>63</v>
      </c>
      <c r="B18" s="30" t="s">
        <v>40</v>
      </c>
      <c r="C18" s="31"/>
      <c r="D18" s="31"/>
      <c r="E18" s="31"/>
      <c r="F18" s="16" t="s">
        <v>35</v>
      </c>
      <c r="G18" s="7"/>
      <c r="H18" s="7"/>
    </row>
    <row r="19" spans="1:8" thickBot="1" x14ac:dyDescent="0.35">
      <c r="A19" s="138"/>
      <c r="B19" s="145" t="s">
        <v>113</v>
      </c>
      <c r="C19" s="140"/>
      <c r="D19" s="140"/>
      <c r="E19" s="146"/>
      <c r="F19" s="147">
        <f>727.74*C4</f>
        <v>145.548</v>
      </c>
      <c r="G19" s="7"/>
      <c r="H19" s="7"/>
    </row>
    <row r="20" spans="1:8" ht="15.75" thickBot="1" x14ac:dyDescent="0.3">
      <c r="B20" s="17"/>
      <c r="C20" s="17"/>
      <c r="D20" s="18"/>
      <c r="E20" s="298" t="s">
        <v>192</v>
      </c>
      <c r="F20" s="299"/>
      <c r="G20" s="19">
        <f>+SUM(F19:F19)</f>
        <v>145.548</v>
      </c>
      <c r="H20" s="7" t="s">
        <v>37</v>
      </c>
    </row>
    <row r="21" spans="1:8" ht="15.75" thickBot="1" x14ac:dyDescent="0.3">
      <c r="B21" s="7"/>
      <c r="C21" s="7"/>
      <c r="D21" s="7"/>
      <c r="E21" s="7"/>
      <c r="F21" s="7"/>
      <c r="G21" s="7"/>
      <c r="H21" s="7"/>
    </row>
    <row r="22" spans="1:8" ht="15.75" thickBot="1" x14ac:dyDescent="0.3">
      <c r="E22" s="300" t="s">
        <v>66</v>
      </c>
      <c r="F22" s="301"/>
      <c r="G22" s="78">
        <f>+G16+G12+G8+G20</f>
        <v>6352.4260000000004</v>
      </c>
      <c r="H22" s="7" t="s">
        <v>37</v>
      </c>
    </row>
  </sheetData>
  <mergeCells count="9">
    <mergeCell ref="E16:F16"/>
    <mergeCell ref="E20:F20"/>
    <mergeCell ref="E22:F22"/>
    <mergeCell ref="B1:C1"/>
    <mergeCell ref="C2:G2"/>
    <mergeCell ref="E3:F3"/>
    <mergeCell ref="E4:F4"/>
    <mergeCell ref="E8:F8"/>
    <mergeCell ref="E12:F12"/>
  </mergeCells>
  <pageMargins left="0.7" right="0.7" top="0.75" bottom="0.75" header="0.3" footer="0.3"/>
  <pageSetup paperSize="9" orientation="portrait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>
    <tabColor theme="9"/>
  </sheetPr>
  <dimension ref="A1:H33"/>
  <sheetViews>
    <sheetView topLeftCell="A9" workbookViewId="0">
      <selection activeCell="H13" sqref="H13"/>
    </sheetView>
  </sheetViews>
  <sheetFormatPr baseColWidth="10" defaultRowHeight="15" x14ac:dyDescent="0.25"/>
  <cols>
    <col min="2" max="2" width="36.28515625" bestFit="1" customWidth="1"/>
    <col min="7" max="7" width="12.28515625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131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1</v>
      </c>
      <c r="D3" s="3"/>
      <c r="E3" s="306" t="s">
        <v>30</v>
      </c>
      <c r="F3" s="307"/>
      <c r="G3" s="76" t="s">
        <v>7</v>
      </c>
      <c r="H3" s="7"/>
    </row>
    <row r="4" spans="1:8" thickBot="1" x14ac:dyDescent="0.35">
      <c r="B4" s="8" t="s">
        <v>42</v>
      </c>
      <c r="C4" s="80">
        <v>0.05</v>
      </c>
      <c r="D4" s="3" t="s">
        <v>43</v>
      </c>
      <c r="E4" s="311">
        <v>0.03</v>
      </c>
      <c r="F4" s="312"/>
      <c r="G4" s="75" t="s">
        <v>8</v>
      </c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ht="14.45" x14ac:dyDescent="0.3">
      <c r="A7" s="111" t="str">
        <f>"010"</f>
        <v>010</v>
      </c>
      <c r="B7" s="112" t="str">
        <f>VLOOKUP(A7,MAT!A:H,2,0)</f>
        <v>Piedra Partida 0-6 mm</v>
      </c>
      <c r="C7" s="113" t="str">
        <f>VLOOKUP(A7,MAT!A:H,3,0)</f>
        <v>tn</v>
      </c>
      <c r="D7" s="152">
        <v>4.3200000000000002E-2</v>
      </c>
      <c r="E7" s="115">
        <f>VLOOKUP(A7,MAT!A:H,8,0)</f>
        <v>3988.2</v>
      </c>
      <c r="F7" s="116">
        <f t="shared" ref="F7:F12" si="0">+D7*E7</f>
        <v>172.29024000000001</v>
      </c>
      <c r="G7" s="7"/>
      <c r="H7" s="7"/>
    </row>
    <row r="8" spans="1:8" ht="14.45" x14ac:dyDescent="0.3">
      <c r="A8" s="117" t="str">
        <f>"011"</f>
        <v>011</v>
      </c>
      <c r="B8" s="107" t="str">
        <f>VLOOKUP(A8,MAT!A:H,2,0)</f>
        <v>Piedra Partida 6-20 mm</v>
      </c>
      <c r="C8" s="108" t="str">
        <f>VLOOKUP(A8,MAT!A:H,3,0)</f>
        <v>tn</v>
      </c>
      <c r="D8" s="151">
        <v>4.4400000000000002E-2</v>
      </c>
      <c r="E8" s="110">
        <f>VLOOKUP(A8,MAT!A:H,8,0)</f>
        <v>4069.8</v>
      </c>
      <c r="F8" s="118">
        <f t="shared" si="0"/>
        <v>180.69912000000002</v>
      </c>
      <c r="G8" s="7"/>
      <c r="H8" s="7"/>
    </row>
    <row r="9" spans="1:8" ht="14.45" x14ac:dyDescent="0.3">
      <c r="A9" s="117" t="str">
        <f>"012"</f>
        <v>012</v>
      </c>
      <c r="B9" s="107" t="str">
        <f>VLOOKUP(A9,MAT!A:H,2,0)</f>
        <v>Cal hidraulica hidratada, 65% CUV</v>
      </c>
      <c r="C9" s="108" t="str">
        <f>VLOOKUP(A9,MAT!A:H,3,0)</f>
        <v>tn</v>
      </c>
      <c r="D9" s="151">
        <v>2.0000000000000001E-4</v>
      </c>
      <c r="E9" s="110">
        <f>VLOOKUP(A9,MAT!A:H,8,0)</f>
        <v>37128</v>
      </c>
      <c r="F9" s="118">
        <f t="shared" si="0"/>
        <v>7.4256000000000002</v>
      </c>
      <c r="G9" s="7"/>
      <c r="H9" s="7"/>
    </row>
    <row r="10" spans="1:8" x14ac:dyDescent="0.25">
      <c r="A10" s="117" t="str">
        <f>"013"</f>
        <v>013</v>
      </c>
      <c r="B10" s="126" t="str">
        <f>VLOOKUP(A10,MAT!A:H,2,0)</f>
        <v>Cemento Asfáltico CA30</v>
      </c>
      <c r="C10" s="127" t="str">
        <f>VLOOKUP(A10,MAT!A:H,3,0)</f>
        <v>tn</v>
      </c>
      <c r="D10" s="151">
        <v>2.3999999999999998E-3</v>
      </c>
      <c r="E10" s="110">
        <f>VLOOKUP(A10,MAT!A:H,8,0)</f>
        <v>262600</v>
      </c>
      <c r="F10" s="118">
        <f t="shared" si="0"/>
        <v>630.2399999999999</v>
      </c>
      <c r="G10" s="7"/>
      <c r="H10" s="7"/>
    </row>
    <row r="11" spans="1:8" x14ac:dyDescent="0.25">
      <c r="A11" s="117" t="str">
        <f>"025"</f>
        <v>025</v>
      </c>
      <c r="B11" s="126" t="str">
        <f>VLOOKUP(A11,MAT!A:H,2,0)</f>
        <v>Emulsión asfáltica p/riego de liga</v>
      </c>
      <c r="C11" s="127" t="str">
        <f>VLOOKUP(A11,MAT!A:H,3,0)</f>
        <v>m2</v>
      </c>
      <c r="D11" s="151">
        <v>1</v>
      </c>
      <c r="E11" s="110">
        <f>VLOOKUP(A11,MAT!A:H,8,0)</f>
        <v>227.24</v>
      </c>
      <c r="F11" s="118">
        <f t="shared" si="0"/>
        <v>227.24</v>
      </c>
      <c r="G11" s="7"/>
      <c r="H11" s="7"/>
    </row>
    <row r="12" spans="1:8" thickBot="1" x14ac:dyDescent="0.35">
      <c r="A12" s="119" t="str">
        <f>"026"</f>
        <v>026</v>
      </c>
      <c r="B12" s="135" t="str">
        <f>VLOOKUP(A12,MAT!A:H,2,0)</f>
        <v>Fuel Oil</v>
      </c>
      <c r="C12" s="136" t="str">
        <f>VLOOKUP(A12,MAT!A:H,3,0)</f>
        <v>tn</v>
      </c>
      <c r="D12" s="153">
        <v>1.2999999999999999E-3</v>
      </c>
      <c r="E12" s="123">
        <f>VLOOKUP(A12,MAT!A:H,8,0)</f>
        <v>7135.416666666667</v>
      </c>
      <c r="F12" s="124">
        <f t="shared" si="0"/>
        <v>9.2760416666666661</v>
      </c>
      <c r="G12" s="7"/>
      <c r="H12" s="7"/>
    </row>
    <row r="13" spans="1:8" thickBot="1" x14ac:dyDescent="0.35">
      <c r="B13" s="17"/>
      <c r="C13" s="17"/>
      <c r="D13" s="18"/>
      <c r="E13" s="298" t="s">
        <v>36</v>
      </c>
      <c r="F13" s="299"/>
      <c r="G13" s="19">
        <f>+SUM(F7:F12)</f>
        <v>1227.1710016666666</v>
      </c>
      <c r="H13" s="11" t="s">
        <v>37</v>
      </c>
    </row>
    <row r="14" spans="1:8" thickBot="1" x14ac:dyDescent="0.35">
      <c r="B14" s="12"/>
      <c r="C14" s="12"/>
      <c r="D14" s="12"/>
      <c r="E14" s="20"/>
      <c r="F14" s="20"/>
      <c r="G14" s="17"/>
      <c r="H14" s="7"/>
    </row>
    <row r="15" spans="1:8" ht="29.45" thickBot="1" x14ac:dyDescent="0.35">
      <c r="A15" s="74" t="s">
        <v>63</v>
      </c>
      <c r="B15" s="30" t="s">
        <v>38</v>
      </c>
      <c r="C15" s="31" t="str">
        <f>+C6</f>
        <v>UNIDAD</v>
      </c>
      <c r="D15" s="31" t="str">
        <f>+D6</f>
        <v>CUANTIA</v>
      </c>
      <c r="E15" s="31" t="str">
        <f>+E6</f>
        <v>PRECIO</v>
      </c>
      <c r="F15" s="125" t="str">
        <f>+F6</f>
        <v>COSTO TOTAL</v>
      </c>
      <c r="G15" s="7"/>
      <c r="H15" s="7"/>
    </row>
    <row r="16" spans="1:8" ht="14.45" x14ac:dyDescent="0.3">
      <c r="A16" s="111" t="str">
        <f>A7</f>
        <v>010</v>
      </c>
      <c r="B16" s="130" t="str">
        <f>VLOOKUP(A16,TRANS!A:H,2,0)</f>
        <v>Piedra Partida 0-6 mm</v>
      </c>
      <c r="C16" s="131" t="str">
        <f>VLOOKUP(A16,TRANS!A:J,3,0)</f>
        <v>tn</v>
      </c>
      <c r="D16" s="152">
        <f>D7</f>
        <v>4.3200000000000002E-2</v>
      </c>
      <c r="E16" s="132">
        <f>VLOOKUP(A16,TRANS!A:J,5,0)</f>
        <v>300</v>
      </c>
      <c r="F16" s="116">
        <f>D16*E16</f>
        <v>12.96</v>
      </c>
      <c r="G16" s="7"/>
      <c r="H16" s="7"/>
    </row>
    <row r="17" spans="1:8" ht="14.45" x14ac:dyDescent="0.3">
      <c r="A17" s="117" t="str">
        <f>A8</f>
        <v>011</v>
      </c>
      <c r="B17" s="126" t="str">
        <f>VLOOKUP(A17,TRANS!A:H,2,0)</f>
        <v>Piedra Partida 6-20 mm</v>
      </c>
      <c r="C17" s="127" t="str">
        <f>VLOOKUP(A17,TRANS!A:J,3,0)</f>
        <v>tn</v>
      </c>
      <c r="D17" s="151">
        <f t="shared" ref="D17:D21" si="1">D8</f>
        <v>4.4400000000000002E-2</v>
      </c>
      <c r="E17" s="128">
        <f>VLOOKUP(A17,TRANS!A:J,5,0)</f>
        <v>300</v>
      </c>
      <c r="F17" s="118">
        <f t="shared" ref="F17:F21" si="2">D17*E17</f>
        <v>13.32</v>
      </c>
      <c r="G17" s="7"/>
      <c r="H17" s="7"/>
    </row>
    <row r="18" spans="1:8" ht="14.45" x14ac:dyDescent="0.3">
      <c r="A18" s="117" t="str">
        <f>A9</f>
        <v>012</v>
      </c>
      <c r="B18" s="126" t="str">
        <f>VLOOKUP(A18,TRANS!A:H,2,0)</f>
        <v>Cal hidraulica hidratada, 65% CUV</v>
      </c>
      <c r="C18" s="127" t="str">
        <f>VLOOKUP(A18,TRANS!A:J,3,0)</f>
        <v>tn</v>
      </c>
      <c r="D18" s="151">
        <f t="shared" si="1"/>
        <v>2.0000000000000001E-4</v>
      </c>
      <c r="E18" s="128">
        <f>VLOOKUP(A18,TRANS!A:J,5,0)</f>
        <v>350</v>
      </c>
      <c r="F18" s="118">
        <f t="shared" si="2"/>
        <v>7.0000000000000007E-2</v>
      </c>
      <c r="G18" s="7"/>
      <c r="H18" s="7"/>
    </row>
    <row r="19" spans="1:8" x14ac:dyDescent="0.25">
      <c r="A19" s="117" t="str">
        <f>A10</f>
        <v>013</v>
      </c>
      <c r="B19" s="126" t="str">
        <f>VLOOKUP(A19,TRANS!A:H,2,0)</f>
        <v>Cemento Asfáltico CA30</v>
      </c>
      <c r="C19" s="127" t="str">
        <f>VLOOKUP(A19,TRANS!A:J,3,0)</f>
        <v>tn</v>
      </c>
      <c r="D19" s="151">
        <f t="shared" si="1"/>
        <v>2.3999999999999998E-3</v>
      </c>
      <c r="E19" s="128">
        <f>VLOOKUP(A19,TRANS!A:J,5,0)</f>
        <v>20</v>
      </c>
      <c r="F19" s="118">
        <f t="shared" si="2"/>
        <v>4.7999999999999994E-2</v>
      </c>
      <c r="G19" s="7"/>
      <c r="H19" s="7"/>
    </row>
    <row r="20" spans="1:8" x14ac:dyDescent="0.25">
      <c r="A20" s="117" t="str">
        <f>A11</f>
        <v>025</v>
      </c>
      <c r="B20" s="126" t="str">
        <f>VLOOKUP(A20,TRANS!A:H,2,0)</f>
        <v>Emulsión asfáltica p/riego de liga</v>
      </c>
      <c r="C20" s="127" t="str">
        <f>VLOOKUP(A20,TRANS!A:J,3,0)</f>
        <v>m2</v>
      </c>
      <c r="D20" s="151">
        <f t="shared" si="1"/>
        <v>1</v>
      </c>
      <c r="E20" s="128">
        <f>VLOOKUP(A20,TRANS!A:J,5,0)</f>
        <v>10</v>
      </c>
      <c r="F20" s="118">
        <f t="shared" si="2"/>
        <v>10</v>
      </c>
      <c r="G20" s="7"/>
      <c r="H20" s="7"/>
    </row>
    <row r="21" spans="1:8" thickBot="1" x14ac:dyDescent="0.35">
      <c r="A21" s="119" t="str">
        <f t="shared" ref="A21" si="3">A12</f>
        <v>026</v>
      </c>
      <c r="B21" s="135" t="str">
        <f>VLOOKUP(A21,TRANS!A:H,2,0)</f>
        <v>Fuel Oil</v>
      </c>
      <c r="C21" s="136" t="str">
        <f>VLOOKUP(A21,TRANS!A:J,3,0)</f>
        <v>tn</v>
      </c>
      <c r="D21" s="153">
        <f t="shared" si="1"/>
        <v>1.2999999999999999E-3</v>
      </c>
      <c r="E21" s="137">
        <f>VLOOKUP(A21,TRANS!A:J,5,0)</f>
        <v>0</v>
      </c>
      <c r="F21" s="124">
        <f t="shared" si="2"/>
        <v>0</v>
      </c>
      <c r="G21" s="7"/>
      <c r="H21" s="7"/>
    </row>
    <row r="22" spans="1:8" thickBot="1" x14ac:dyDescent="0.35">
      <c r="B22" s="17"/>
      <c r="C22" s="17"/>
      <c r="D22" s="24"/>
      <c r="E22" s="298" t="s">
        <v>64</v>
      </c>
      <c r="F22" s="308"/>
      <c r="G22" s="19">
        <f>+SUM(F16:F21)</f>
        <v>36.397999999999996</v>
      </c>
      <c r="H22" s="7" t="s">
        <v>37</v>
      </c>
    </row>
    <row r="23" spans="1:8" thickBot="1" x14ac:dyDescent="0.35">
      <c r="B23" s="13"/>
      <c r="C23" s="13"/>
      <c r="D23" s="13"/>
      <c r="E23" s="17"/>
      <c r="F23" s="17"/>
      <c r="G23" s="17"/>
      <c r="H23" s="7"/>
    </row>
    <row r="24" spans="1:8" ht="29.45" thickBot="1" x14ac:dyDescent="0.35">
      <c r="A24" s="74" t="s">
        <v>63</v>
      </c>
      <c r="B24" s="30" t="s">
        <v>39</v>
      </c>
      <c r="C24" s="31"/>
      <c r="D24" s="31"/>
      <c r="E24" s="31"/>
      <c r="F24" s="16" t="s">
        <v>35</v>
      </c>
      <c r="G24" s="7"/>
      <c r="H24" s="7"/>
    </row>
    <row r="25" spans="1:8" thickBot="1" x14ac:dyDescent="0.35">
      <c r="A25" s="138"/>
      <c r="B25" s="154" t="s">
        <v>113</v>
      </c>
      <c r="C25" s="140"/>
      <c r="D25" s="140"/>
      <c r="E25" s="146"/>
      <c r="F25" s="147">
        <f>754.73*E4</f>
        <v>22.6419</v>
      </c>
      <c r="G25" s="7"/>
      <c r="H25" s="7"/>
    </row>
    <row r="26" spans="1:8" thickBot="1" x14ac:dyDescent="0.35">
      <c r="C26" s="17"/>
      <c r="D26" s="18"/>
      <c r="E26" s="298" t="s">
        <v>65</v>
      </c>
      <c r="F26" s="299"/>
      <c r="G26" s="19">
        <f>+SUM(F25:F25)</f>
        <v>22.6419</v>
      </c>
      <c r="H26" s="7" t="s">
        <v>37</v>
      </c>
    </row>
    <row r="27" spans="1:8" ht="14.45" x14ac:dyDescent="0.3">
      <c r="B27" s="7"/>
      <c r="C27" s="7"/>
      <c r="D27" s="7"/>
      <c r="E27" s="7"/>
      <c r="F27" s="7"/>
      <c r="G27" s="7"/>
      <c r="H27" s="7"/>
    </row>
    <row r="28" spans="1:8" thickBot="1" x14ac:dyDescent="0.35">
      <c r="B28" s="26"/>
      <c r="C28" s="27"/>
      <c r="D28" s="27"/>
      <c r="E28" s="28"/>
      <c r="F28" s="28"/>
      <c r="G28" s="29"/>
      <c r="H28" s="7"/>
    </row>
    <row r="29" spans="1:8" ht="29.45" thickBot="1" x14ac:dyDescent="0.35">
      <c r="A29" s="74" t="s">
        <v>63</v>
      </c>
      <c r="B29" s="30" t="s">
        <v>40</v>
      </c>
      <c r="C29" s="31"/>
      <c r="D29" s="31"/>
      <c r="E29" s="31"/>
      <c r="F29" s="16" t="s">
        <v>35</v>
      </c>
      <c r="G29" s="32"/>
      <c r="H29" s="32"/>
    </row>
    <row r="30" spans="1:8" ht="15.75" thickBot="1" x14ac:dyDescent="0.3">
      <c r="A30" s="40"/>
      <c r="B30" s="155" t="s">
        <v>113</v>
      </c>
      <c r="C30" s="93"/>
      <c r="D30" s="93"/>
      <c r="E30" s="105"/>
      <c r="F30" s="106">
        <f>2140.98*E4</f>
        <v>64.229399999999998</v>
      </c>
      <c r="G30" s="7"/>
      <c r="H30" s="7"/>
    </row>
    <row r="31" spans="1:8" ht="15.75" thickBot="1" x14ac:dyDescent="0.3">
      <c r="B31" s="17"/>
      <c r="C31" s="17"/>
      <c r="D31" s="18"/>
      <c r="E31" s="298" t="s">
        <v>41</v>
      </c>
      <c r="F31" s="299"/>
      <c r="G31" s="19">
        <f>F30</f>
        <v>64.229399999999998</v>
      </c>
      <c r="H31" s="7" t="s">
        <v>37</v>
      </c>
    </row>
    <row r="32" spans="1:8" ht="15.75" thickBot="1" x14ac:dyDescent="0.3"/>
    <row r="33" spans="5:8" ht="15.75" thickBot="1" x14ac:dyDescent="0.3">
      <c r="E33" s="309" t="s">
        <v>66</v>
      </c>
      <c r="F33" s="310"/>
      <c r="G33" s="42">
        <f>+G26+G22+G13+G31</f>
        <v>1350.4403016666665</v>
      </c>
      <c r="H33" s="7" t="s">
        <v>37</v>
      </c>
    </row>
  </sheetData>
  <mergeCells count="9">
    <mergeCell ref="E26:F26"/>
    <mergeCell ref="E31:F31"/>
    <mergeCell ref="E33:F33"/>
    <mergeCell ref="B1:C1"/>
    <mergeCell ref="C2:G2"/>
    <mergeCell ref="E3:F3"/>
    <mergeCell ref="E4:F4"/>
    <mergeCell ref="E13:F13"/>
    <mergeCell ref="E22:F22"/>
  </mergeCells>
  <pageMargins left="0.7" right="0.7" top="0.75" bottom="0.75" header="0.3" footer="0.3"/>
  <pageSetup paperSize="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3">
    <tabColor theme="9"/>
  </sheetPr>
  <dimension ref="A1:H33"/>
  <sheetViews>
    <sheetView workbookViewId="0">
      <selection activeCell="L29" sqref="L29"/>
    </sheetView>
  </sheetViews>
  <sheetFormatPr baseColWidth="10" defaultRowHeight="15" x14ac:dyDescent="0.25"/>
  <cols>
    <col min="2" max="2" width="36.28515625" bestFit="1" customWidth="1"/>
    <col min="4" max="4" width="11.5703125" customWidth="1"/>
    <col min="7" max="7" width="12.28515625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103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3</v>
      </c>
      <c r="D3" s="3"/>
      <c r="E3" s="306" t="s">
        <v>30</v>
      </c>
      <c r="F3" s="307"/>
      <c r="G3" s="76" t="s">
        <v>7</v>
      </c>
      <c r="H3" s="7"/>
    </row>
    <row r="4" spans="1:8" thickBot="1" x14ac:dyDescent="0.35">
      <c r="B4" s="8" t="s">
        <v>42</v>
      </c>
      <c r="C4" s="80">
        <v>0.06</v>
      </c>
      <c r="D4" s="3" t="s">
        <v>43</v>
      </c>
      <c r="E4" s="311">
        <v>3.5000000000000003E-2</v>
      </c>
      <c r="F4" s="312"/>
      <c r="G4" s="75" t="s">
        <v>8</v>
      </c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ht="14.45" x14ac:dyDescent="0.3">
      <c r="A7" s="111" t="str">
        <f>"010"</f>
        <v>010</v>
      </c>
      <c r="B7" s="112" t="str">
        <f>VLOOKUP(A7,MAT!A:H,2,0)</f>
        <v>Piedra Partida 0-6 mm</v>
      </c>
      <c r="C7" s="113" t="str">
        <f>VLOOKUP(A7,MAT!A:H,3,0)</f>
        <v>tn</v>
      </c>
      <c r="D7" s="114">
        <f>0.0432*6/5</f>
        <v>5.1839999999999997E-2</v>
      </c>
      <c r="E7" s="115">
        <f>VLOOKUP(A7,MAT!A:H,8,0)</f>
        <v>3988.2</v>
      </c>
      <c r="F7" s="116">
        <f t="shared" ref="F7:F12" si="0">+D7*E7</f>
        <v>206.74828799999997</v>
      </c>
      <c r="G7" s="7"/>
      <c r="H7" s="7"/>
    </row>
    <row r="8" spans="1:8" ht="14.45" x14ac:dyDescent="0.3">
      <c r="A8" s="117" t="str">
        <f>"011"</f>
        <v>011</v>
      </c>
      <c r="B8" s="107" t="str">
        <f>VLOOKUP(A8,MAT!A:H,2,0)</f>
        <v>Piedra Partida 6-20 mm</v>
      </c>
      <c r="C8" s="108" t="str">
        <f>VLOOKUP(A8,MAT!A:H,3,0)</f>
        <v>tn</v>
      </c>
      <c r="D8" s="109">
        <f>0.0444*6/5</f>
        <v>5.3280000000000008E-2</v>
      </c>
      <c r="E8" s="110">
        <f>VLOOKUP(A8,MAT!A:H,8,0)</f>
        <v>4069.8</v>
      </c>
      <c r="F8" s="118">
        <f t="shared" si="0"/>
        <v>216.83894400000005</v>
      </c>
      <c r="G8" s="7"/>
      <c r="H8" s="7"/>
    </row>
    <row r="9" spans="1:8" ht="14.45" x14ac:dyDescent="0.3">
      <c r="A9" s="117" t="str">
        <f>"012"</f>
        <v>012</v>
      </c>
      <c r="B9" s="107" t="str">
        <f>VLOOKUP(A9,MAT!A:H,2,0)</f>
        <v>Cal hidraulica hidratada, 65% CUV</v>
      </c>
      <c r="C9" s="108" t="str">
        <f>VLOOKUP(A9,MAT!A:H,3,0)</f>
        <v>tn</v>
      </c>
      <c r="D9" s="109">
        <f>0.0002*6/5</f>
        <v>2.4000000000000003E-4</v>
      </c>
      <c r="E9" s="110">
        <f>VLOOKUP(A9,MAT!A:H,8,0)</f>
        <v>37128</v>
      </c>
      <c r="F9" s="118">
        <f t="shared" si="0"/>
        <v>8.9107200000000013</v>
      </c>
      <c r="G9" s="7"/>
      <c r="H9" s="7"/>
    </row>
    <row r="10" spans="1:8" x14ac:dyDescent="0.25">
      <c r="A10" s="117" t="str">
        <f>"013"</f>
        <v>013</v>
      </c>
      <c r="B10" s="126" t="str">
        <f>VLOOKUP(A10,MAT!A:H,2,0)</f>
        <v>Cemento Asfáltico CA30</v>
      </c>
      <c r="C10" s="127" t="str">
        <f>VLOOKUP(A10,MAT!A:H,3,0)</f>
        <v>tn</v>
      </c>
      <c r="D10" s="109">
        <f>0.0024*6/5</f>
        <v>2.8799999999999997E-3</v>
      </c>
      <c r="E10" s="110">
        <f>VLOOKUP(A10,MAT!A:H,8,0)</f>
        <v>262600</v>
      </c>
      <c r="F10" s="118">
        <f t="shared" si="0"/>
        <v>756.2879999999999</v>
      </c>
      <c r="G10" s="7"/>
      <c r="H10" s="7"/>
    </row>
    <row r="11" spans="1:8" x14ac:dyDescent="0.25">
      <c r="A11" s="117" t="str">
        <f>"025"</f>
        <v>025</v>
      </c>
      <c r="B11" s="126" t="str">
        <f>VLOOKUP(A11,MAT!A:H,2,0)</f>
        <v>Emulsión asfáltica p/riego de liga</v>
      </c>
      <c r="C11" s="127" t="str">
        <f>VLOOKUP(A11,MAT!A:H,3,0)</f>
        <v>m2</v>
      </c>
      <c r="D11" s="109">
        <v>1</v>
      </c>
      <c r="E11" s="110">
        <f>VLOOKUP(A11,MAT!A:H,8,0)</f>
        <v>227.24</v>
      </c>
      <c r="F11" s="118">
        <f t="shared" si="0"/>
        <v>227.24</v>
      </c>
      <c r="G11" s="7"/>
      <c r="H11" s="7"/>
    </row>
    <row r="12" spans="1:8" thickBot="1" x14ac:dyDescent="0.35">
      <c r="A12" s="119" t="str">
        <f>"026"</f>
        <v>026</v>
      </c>
      <c r="B12" s="135" t="str">
        <f>VLOOKUP(A12,MAT!A:H,2,0)</f>
        <v>Fuel Oil</v>
      </c>
      <c r="C12" s="136" t="str">
        <f>VLOOKUP(A12,MAT!A:H,3,0)</f>
        <v>tn</v>
      </c>
      <c r="D12" s="122">
        <f>0.0013*6/5</f>
        <v>1.56E-3</v>
      </c>
      <c r="E12" s="123">
        <f>VLOOKUP(A12,MAT!A:H,8,0)</f>
        <v>7135.416666666667</v>
      </c>
      <c r="F12" s="124">
        <f t="shared" si="0"/>
        <v>11.13125</v>
      </c>
      <c r="G12" s="7"/>
      <c r="H12" s="7"/>
    </row>
    <row r="13" spans="1:8" thickBot="1" x14ac:dyDescent="0.35">
      <c r="B13" s="17"/>
      <c r="C13" s="17"/>
      <c r="D13" s="18"/>
      <c r="E13" s="298" t="s">
        <v>36</v>
      </c>
      <c r="F13" s="299"/>
      <c r="G13" s="19">
        <f>+SUM(F7:F12)</f>
        <v>1427.1572019999999</v>
      </c>
      <c r="H13" s="11" t="s">
        <v>37</v>
      </c>
    </row>
    <row r="14" spans="1:8" thickBot="1" x14ac:dyDescent="0.35">
      <c r="B14" s="12"/>
      <c r="C14" s="12"/>
      <c r="D14" s="12"/>
      <c r="E14" s="20"/>
      <c r="F14" s="20"/>
      <c r="G14" s="17"/>
      <c r="H14" s="7"/>
    </row>
    <row r="15" spans="1:8" ht="29.45" thickBot="1" x14ac:dyDescent="0.35">
      <c r="A15" s="74" t="s">
        <v>63</v>
      </c>
      <c r="B15" s="30" t="s">
        <v>38</v>
      </c>
      <c r="C15" s="204" t="str">
        <f>+C6</f>
        <v>UNIDAD</v>
      </c>
      <c r="D15" s="214" t="str">
        <f>+D6</f>
        <v>CUANTIA</v>
      </c>
      <c r="E15" s="205" t="str">
        <f>+E6</f>
        <v>PRECIO</v>
      </c>
      <c r="F15" s="125" t="str">
        <f>+F6</f>
        <v>COSTO TOTAL</v>
      </c>
      <c r="G15" s="7"/>
      <c r="H15" s="7"/>
    </row>
    <row r="16" spans="1:8" ht="14.45" x14ac:dyDescent="0.3">
      <c r="A16" s="111" t="str">
        <f>A7</f>
        <v>010</v>
      </c>
      <c r="B16" s="130" t="str">
        <f>VLOOKUP(A16,TRANS!A:H,2,0)</f>
        <v>Piedra Partida 0-6 mm</v>
      </c>
      <c r="C16" s="131" t="str">
        <f>VLOOKUP(A16,TRANS!A:J,3,0)</f>
        <v>tn</v>
      </c>
      <c r="D16" s="152">
        <f>D7</f>
        <v>5.1839999999999997E-2</v>
      </c>
      <c r="E16" s="132">
        <f>VLOOKUP(A16,TRANS!A:J,5,0)</f>
        <v>300</v>
      </c>
      <c r="F16" s="116">
        <f>D16*E16</f>
        <v>15.552</v>
      </c>
      <c r="G16" s="7"/>
      <c r="H16" s="7"/>
    </row>
    <row r="17" spans="1:8" ht="14.45" x14ac:dyDescent="0.3">
      <c r="A17" s="117" t="str">
        <f>A8</f>
        <v>011</v>
      </c>
      <c r="B17" s="126" t="str">
        <f>VLOOKUP(A17,TRANS!A:H,2,0)</f>
        <v>Piedra Partida 6-20 mm</v>
      </c>
      <c r="C17" s="127" t="str">
        <f>VLOOKUP(A17,TRANS!A:J,3,0)</f>
        <v>tn</v>
      </c>
      <c r="D17" s="151">
        <f t="shared" ref="D17:D21" si="1">D8</f>
        <v>5.3280000000000008E-2</v>
      </c>
      <c r="E17" s="128">
        <f>VLOOKUP(A17,TRANS!A:J,5,0)</f>
        <v>300</v>
      </c>
      <c r="F17" s="118">
        <f t="shared" ref="F17:F21" si="2">D17*E17</f>
        <v>15.984000000000002</v>
      </c>
      <c r="G17" s="7"/>
      <c r="H17" s="7"/>
    </row>
    <row r="18" spans="1:8" ht="14.45" x14ac:dyDescent="0.3">
      <c r="A18" s="117" t="str">
        <f>A9</f>
        <v>012</v>
      </c>
      <c r="B18" s="126" t="str">
        <f>VLOOKUP(A18,TRANS!A:H,2,0)</f>
        <v>Cal hidraulica hidratada, 65% CUV</v>
      </c>
      <c r="C18" s="127" t="str">
        <f>VLOOKUP(A18,TRANS!A:J,3,0)</f>
        <v>tn</v>
      </c>
      <c r="D18" s="151">
        <f t="shared" si="1"/>
        <v>2.4000000000000003E-4</v>
      </c>
      <c r="E18" s="128">
        <f>VLOOKUP(A18,TRANS!A:J,5,0)</f>
        <v>350</v>
      </c>
      <c r="F18" s="118">
        <f t="shared" si="2"/>
        <v>8.4000000000000005E-2</v>
      </c>
      <c r="G18" s="7"/>
      <c r="H18" s="7"/>
    </row>
    <row r="19" spans="1:8" x14ac:dyDescent="0.25">
      <c r="A19" s="117" t="str">
        <f>A10</f>
        <v>013</v>
      </c>
      <c r="B19" s="126" t="str">
        <f>VLOOKUP(A19,TRANS!A:H,2,0)</f>
        <v>Cemento Asfáltico CA30</v>
      </c>
      <c r="C19" s="127" t="str">
        <f>VLOOKUP(A19,TRANS!A:J,3,0)</f>
        <v>tn</v>
      </c>
      <c r="D19" s="151">
        <f t="shared" si="1"/>
        <v>2.8799999999999997E-3</v>
      </c>
      <c r="E19" s="128">
        <f>VLOOKUP(A19,TRANS!A:J,5,0)</f>
        <v>20</v>
      </c>
      <c r="F19" s="118">
        <f t="shared" si="2"/>
        <v>5.7599999999999998E-2</v>
      </c>
      <c r="G19" s="7"/>
      <c r="H19" s="7"/>
    </row>
    <row r="20" spans="1:8" x14ac:dyDescent="0.25">
      <c r="A20" s="117" t="str">
        <f>A11</f>
        <v>025</v>
      </c>
      <c r="B20" s="126" t="str">
        <f>VLOOKUP(A20,TRANS!A:H,2,0)</f>
        <v>Emulsión asfáltica p/riego de liga</v>
      </c>
      <c r="C20" s="127" t="str">
        <f>VLOOKUP(A20,TRANS!A:J,3,0)</f>
        <v>m2</v>
      </c>
      <c r="D20" s="151">
        <f t="shared" si="1"/>
        <v>1</v>
      </c>
      <c r="E20" s="128">
        <f>VLOOKUP(A20,TRANS!A:J,5,0)</f>
        <v>10</v>
      </c>
      <c r="F20" s="118">
        <f t="shared" si="2"/>
        <v>10</v>
      </c>
      <c r="G20" s="7"/>
      <c r="H20" s="7"/>
    </row>
    <row r="21" spans="1:8" thickBot="1" x14ac:dyDescent="0.35">
      <c r="A21" s="119" t="str">
        <f t="shared" ref="A21" si="3">A12</f>
        <v>026</v>
      </c>
      <c r="B21" s="135" t="str">
        <f>VLOOKUP(A21,TRANS!A:H,2,0)</f>
        <v>Fuel Oil</v>
      </c>
      <c r="C21" s="136" t="str">
        <f>VLOOKUP(A21,TRANS!A:J,3,0)</f>
        <v>tn</v>
      </c>
      <c r="D21" s="153">
        <f t="shared" si="1"/>
        <v>1.56E-3</v>
      </c>
      <c r="E21" s="137">
        <f>VLOOKUP(A21,TRANS!A:J,5,0)</f>
        <v>0</v>
      </c>
      <c r="F21" s="124">
        <f t="shared" si="2"/>
        <v>0</v>
      </c>
      <c r="G21" s="7"/>
      <c r="H21" s="7"/>
    </row>
    <row r="22" spans="1:8" ht="15.75" thickBot="1" x14ac:dyDescent="0.3">
      <c r="B22" s="17"/>
      <c r="C22" s="17"/>
      <c r="D22" s="24"/>
      <c r="E22" s="298" t="s">
        <v>64</v>
      </c>
      <c r="F22" s="308"/>
      <c r="G22" s="19">
        <f>+SUM(F16:F21)</f>
        <v>41.677599999999998</v>
      </c>
      <c r="H22" s="7" t="s">
        <v>37</v>
      </c>
    </row>
    <row r="23" spans="1:8" ht="15.75" thickBot="1" x14ac:dyDescent="0.3">
      <c r="B23" s="13"/>
      <c r="C23" s="13"/>
      <c r="D23" s="13"/>
      <c r="E23" s="17"/>
      <c r="F23" s="17"/>
      <c r="G23" s="17"/>
      <c r="H23" s="7"/>
    </row>
    <row r="24" spans="1:8" ht="30.75" thickBot="1" x14ac:dyDescent="0.3">
      <c r="A24" s="74" t="s">
        <v>63</v>
      </c>
      <c r="B24" s="30" t="s">
        <v>39</v>
      </c>
      <c r="C24" s="31"/>
      <c r="D24" s="31"/>
      <c r="E24" s="31"/>
      <c r="F24" s="16" t="s">
        <v>35</v>
      </c>
      <c r="G24" s="7"/>
      <c r="H24" s="7"/>
    </row>
    <row r="25" spans="1:8" ht="15.75" thickBot="1" x14ac:dyDescent="0.3">
      <c r="A25" s="138"/>
      <c r="B25" s="154" t="s">
        <v>113</v>
      </c>
      <c r="C25" s="140"/>
      <c r="D25" s="140"/>
      <c r="E25" s="146"/>
      <c r="F25" s="147">
        <f>754.73*E4</f>
        <v>26.415550000000003</v>
      </c>
      <c r="G25" s="7"/>
      <c r="H25" s="7"/>
    </row>
    <row r="26" spans="1:8" ht="15.75" thickBot="1" x14ac:dyDescent="0.3">
      <c r="C26" s="17"/>
      <c r="D26" s="18"/>
      <c r="E26" s="298" t="s">
        <v>65</v>
      </c>
      <c r="F26" s="299"/>
      <c r="G26" s="19">
        <f>+SUM(F25:F25)</f>
        <v>26.415550000000003</v>
      </c>
      <c r="H26" s="7" t="s">
        <v>37</v>
      </c>
    </row>
    <row r="27" spans="1:8" x14ac:dyDescent="0.25">
      <c r="B27" s="7"/>
      <c r="C27" s="7"/>
      <c r="D27" s="7"/>
      <c r="E27" s="7"/>
      <c r="F27" s="7"/>
      <c r="G27" s="7"/>
      <c r="H27" s="7"/>
    </row>
    <row r="28" spans="1:8" ht="15.75" thickBot="1" x14ac:dyDescent="0.3">
      <c r="B28" s="26"/>
      <c r="C28" s="27"/>
      <c r="D28" s="27"/>
      <c r="E28" s="28"/>
      <c r="F28" s="28"/>
      <c r="G28" s="29"/>
      <c r="H28" s="7"/>
    </row>
    <row r="29" spans="1:8" ht="30.75" thickBot="1" x14ac:dyDescent="0.3">
      <c r="A29" s="74" t="s">
        <v>63</v>
      </c>
      <c r="B29" s="30" t="s">
        <v>40</v>
      </c>
      <c r="C29" s="31"/>
      <c r="D29" s="31"/>
      <c r="E29" s="31"/>
      <c r="F29" s="16" t="s">
        <v>35</v>
      </c>
      <c r="G29" s="32"/>
      <c r="H29" s="32"/>
    </row>
    <row r="30" spans="1:8" ht="15.75" thickBot="1" x14ac:dyDescent="0.3">
      <c r="A30" s="138"/>
      <c r="B30" s="154" t="s">
        <v>113</v>
      </c>
      <c r="C30" s="140"/>
      <c r="D30" s="140"/>
      <c r="E30" s="141"/>
      <c r="F30" s="142">
        <f>2140.98*E4</f>
        <v>74.934300000000007</v>
      </c>
      <c r="G30" s="7"/>
      <c r="H30" s="7"/>
    </row>
    <row r="31" spans="1:8" ht="15.75" thickBot="1" x14ac:dyDescent="0.3">
      <c r="B31" s="17"/>
      <c r="C31" s="17"/>
      <c r="D31" s="18"/>
      <c r="E31" s="298" t="s">
        <v>41</v>
      </c>
      <c r="F31" s="299"/>
      <c r="G31" s="19">
        <f>F30</f>
        <v>74.934300000000007</v>
      </c>
      <c r="H31" s="7" t="s">
        <v>37</v>
      </c>
    </row>
    <row r="32" spans="1:8" ht="15.75" thickBot="1" x14ac:dyDescent="0.3"/>
    <row r="33" spans="5:8" ht="15.75" thickBot="1" x14ac:dyDescent="0.3">
      <c r="E33" s="309" t="s">
        <v>66</v>
      </c>
      <c r="F33" s="310"/>
      <c r="G33" s="42">
        <f>+G26+G22+G13+G31</f>
        <v>1570.1846519999999</v>
      </c>
      <c r="H33" s="7" t="s">
        <v>37</v>
      </c>
    </row>
  </sheetData>
  <mergeCells count="9">
    <mergeCell ref="E26:F26"/>
    <mergeCell ref="E31:F31"/>
    <mergeCell ref="E33:F33"/>
    <mergeCell ref="B1:C1"/>
    <mergeCell ref="C2:G2"/>
    <mergeCell ref="E3:F3"/>
    <mergeCell ref="E4:F4"/>
    <mergeCell ref="E13:F13"/>
    <mergeCell ref="E22:F22"/>
  </mergeCells>
  <pageMargins left="0.7" right="0.7" top="0.75" bottom="0.75" header="0.3" footer="0.3"/>
  <pageSetup paperSize="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4">
    <tabColor theme="9"/>
  </sheetPr>
  <dimension ref="A1:H33"/>
  <sheetViews>
    <sheetView topLeftCell="A12" workbookViewId="0">
      <selection activeCell="H13" sqref="H13"/>
    </sheetView>
  </sheetViews>
  <sheetFormatPr baseColWidth="10" defaultRowHeight="15" x14ac:dyDescent="0.25"/>
  <cols>
    <col min="2" max="2" width="36.28515625" bestFit="1" customWidth="1"/>
    <col min="7" max="7" width="12.28515625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200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5</v>
      </c>
      <c r="D3" s="3"/>
      <c r="E3" s="306" t="s">
        <v>30</v>
      </c>
      <c r="F3" s="307"/>
      <c r="G3" s="76" t="s">
        <v>7</v>
      </c>
      <c r="H3" s="7"/>
    </row>
    <row r="4" spans="1:8" thickBot="1" x14ac:dyDescent="0.35">
      <c r="B4" s="8" t="s">
        <v>42</v>
      </c>
      <c r="C4" s="80">
        <v>7.0000000000000007E-2</v>
      </c>
      <c r="D4" s="3" t="s">
        <v>43</v>
      </c>
      <c r="E4" s="311">
        <v>0.04</v>
      </c>
      <c r="F4" s="312"/>
      <c r="G4" s="75" t="s">
        <v>8</v>
      </c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41" t="s">
        <v>63</v>
      </c>
      <c r="B6" s="207" t="s">
        <v>62</v>
      </c>
      <c r="C6" s="208" t="s">
        <v>30</v>
      </c>
      <c r="D6" s="208" t="s">
        <v>33</v>
      </c>
      <c r="E6" s="208" t="s">
        <v>34</v>
      </c>
      <c r="F6" s="25" t="s">
        <v>35</v>
      </c>
      <c r="G6" s="7"/>
      <c r="H6" s="7"/>
    </row>
    <row r="7" spans="1:8" ht="14.45" x14ac:dyDescent="0.3">
      <c r="A7" s="212" t="str">
        <f>"010"</f>
        <v>010</v>
      </c>
      <c r="B7" s="209" t="str">
        <f>VLOOKUP(A7,MAT!A:H,2,0)</f>
        <v>Piedra Partida 0-6 mm</v>
      </c>
      <c r="C7" s="210" t="str">
        <f>VLOOKUP(A7,MAT!A:H,3,0)</f>
        <v>tn</v>
      </c>
      <c r="D7" s="206">
        <v>6.0479999999999999E-2</v>
      </c>
      <c r="E7" s="211">
        <f>VLOOKUP(A7,MAT!A:H,8,0)</f>
        <v>3988.2</v>
      </c>
      <c r="F7" s="213">
        <f t="shared" ref="F7:F12" si="0">+D7*E7</f>
        <v>241.20633599999999</v>
      </c>
      <c r="G7" s="7"/>
      <c r="H7" s="7"/>
    </row>
    <row r="8" spans="1:8" ht="14.45" x14ac:dyDescent="0.3">
      <c r="A8" s="117" t="str">
        <f>"011"</f>
        <v>011</v>
      </c>
      <c r="B8" s="107" t="str">
        <f>VLOOKUP(A8,MAT!A:H,2,0)</f>
        <v>Piedra Partida 6-20 mm</v>
      </c>
      <c r="C8" s="108" t="str">
        <f>VLOOKUP(A8,MAT!A:H,3,0)</f>
        <v>tn</v>
      </c>
      <c r="D8" s="151">
        <v>6.2160000000000007E-2</v>
      </c>
      <c r="E8" s="110">
        <f>VLOOKUP(A8,MAT!A:H,8,0)</f>
        <v>4069.8</v>
      </c>
      <c r="F8" s="118">
        <f t="shared" si="0"/>
        <v>252.97876800000003</v>
      </c>
      <c r="G8" s="7"/>
      <c r="H8" s="7"/>
    </row>
    <row r="9" spans="1:8" ht="14.45" x14ac:dyDescent="0.3">
      <c r="A9" s="117" t="str">
        <f>"012"</f>
        <v>012</v>
      </c>
      <c r="B9" s="107" t="str">
        <f>VLOOKUP(A9,MAT!A:H,2,0)</f>
        <v>Cal hidraulica hidratada, 65% CUV</v>
      </c>
      <c r="C9" s="108" t="str">
        <f>VLOOKUP(A9,MAT!A:H,3,0)</f>
        <v>tn</v>
      </c>
      <c r="D9" s="151">
        <v>2.7999999999999998E-4</v>
      </c>
      <c r="E9" s="110">
        <f>VLOOKUP(A9,MAT!A:H,8,0)</f>
        <v>37128</v>
      </c>
      <c r="F9" s="118">
        <f t="shared" si="0"/>
        <v>10.39584</v>
      </c>
      <c r="G9" s="7"/>
      <c r="H9" s="7"/>
    </row>
    <row r="10" spans="1:8" x14ac:dyDescent="0.25">
      <c r="A10" s="117" t="str">
        <f>"013"</f>
        <v>013</v>
      </c>
      <c r="B10" s="126" t="str">
        <f>VLOOKUP(A10,MAT!A:H,2,0)</f>
        <v>Cemento Asfáltico CA30</v>
      </c>
      <c r="C10" s="127" t="str">
        <f>VLOOKUP(A10,MAT!A:H,3,0)</f>
        <v>tn</v>
      </c>
      <c r="D10" s="151">
        <v>3.3599999999999997E-3</v>
      </c>
      <c r="E10" s="110">
        <f>VLOOKUP(A10,MAT!A:H,8,0)</f>
        <v>262600</v>
      </c>
      <c r="F10" s="118">
        <f t="shared" si="0"/>
        <v>882.3359999999999</v>
      </c>
      <c r="G10" s="7"/>
      <c r="H10" s="7"/>
    </row>
    <row r="11" spans="1:8" x14ac:dyDescent="0.25">
      <c r="A11" s="117" t="str">
        <f>"025"</f>
        <v>025</v>
      </c>
      <c r="B11" s="126" t="str">
        <f>VLOOKUP(A11,MAT!A:H,2,0)</f>
        <v>Emulsión asfáltica p/riego de liga</v>
      </c>
      <c r="C11" s="127" t="str">
        <f>VLOOKUP(A11,MAT!A:H,3,0)</f>
        <v>m2</v>
      </c>
      <c r="D11" s="151">
        <v>1</v>
      </c>
      <c r="E11" s="110">
        <f>VLOOKUP(A11,MAT!A:H,8,0)</f>
        <v>227.24</v>
      </c>
      <c r="F11" s="118">
        <f t="shared" si="0"/>
        <v>227.24</v>
      </c>
      <c r="G11" s="7"/>
      <c r="H11" s="7"/>
    </row>
    <row r="12" spans="1:8" thickBot="1" x14ac:dyDescent="0.35">
      <c r="A12" s="119" t="str">
        <f>"026"</f>
        <v>026</v>
      </c>
      <c r="B12" s="135" t="str">
        <f>VLOOKUP(A12,MAT!A:H,2,0)</f>
        <v>Fuel Oil</v>
      </c>
      <c r="C12" s="136" t="str">
        <f>VLOOKUP(A12,MAT!A:H,3,0)</f>
        <v>tn</v>
      </c>
      <c r="D12" s="153">
        <v>1.82E-3</v>
      </c>
      <c r="E12" s="123">
        <f>VLOOKUP(A12,MAT!A:H,8,0)</f>
        <v>7135.416666666667</v>
      </c>
      <c r="F12" s="124">
        <f t="shared" si="0"/>
        <v>12.986458333333333</v>
      </c>
      <c r="G12" s="7"/>
      <c r="H12" s="7"/>
    </row>
    <row r="13" spans="1:8" thickBot="1" x14ac:dyDescent="0.35">
      <c r="B13" s="17"/>
      <c r="C13" s="17"/>
      <c r="D13" s="18"/>
      <c r="E13" s="298" t="s">
        <v>36</v>
      </c>
      <c r="F13" s="299"/>
      <c r="G13" s="19">
        <f>+SUM(F7:F12)</f>
        <v>1627.1434023333334</v>
      </c>
      <c r="H13" s="11" t="s">
        <v>37</v>
      </c>
    </row>
    <row r="14" spans="1:8" thickBot="1" x14ac:dyDescent="0.35">
      <c r="B14" s="12"/>
      <c r="C14" s="12"/>
      <c r="D14" s="12"/>
      <c r="E14" s="20"/>
      <c r="F14" s="20"/>
      <c r="G14" s="17"/>
      <c r="H14" s="7"/>
    </row>
    <row r="15" spans="1:8" ht="29.45" thickBot="1" x14ac:dyDescent="0.35">
      <c r="A15" s="41" t="s">
        <v>63</v>
      </c>
      <c r="B15" s="21" t="s">
        <v>38</v>
      </c>
      <c r="C15" s="22" t="str">
        <f>+C6</f>
        <v>UNIDAD</v>
      </c>
      <c r="D15" s="22" t="str">
        <f>+D6</f>
        <v>CUANTIA</v>
      </c>
      <c r="E15" s="22" t="str">
        <f>+E6</f>
        <v>PRECIO</v>
      </c>
      <c r="F15" s="23" t="str">
        <f>+F6</f>
        <v>COSTO TOTAL</v>
      </c>
      <c r="G15" s="7"/>
      <c r="H15" s="7"/>
    </row>
    <row r="16" spans="1:8" ht="14.45" x14ac:dyDescent="0.3">
      <c r="A16" s="111" t="str">
        <f>A7</f>
        <v>010</v>
      </c>
      <c r="B16" s="130" t="str">
        <f>VLOOKUP(A16,TRANS!A:H,2,0)</f>
        <v>Piedra Partida 0-6 mm</v>
      </c>
      <c r="C16" s="131" t="str">
        <f>VLOOKUP(A16,TRANS!A:J,3,0)</f>
        <v>tn</v>
      </c>
      <c r="D16" s="152">
        <f>D7</f>
        <v>6.0479999999999999E-2</v>
      </c>
      <c r="E16" s="132">
        <f>VLOOKUP(A16,TRANS!A:J,5,0)</f>
        <v>300</v>
      </c>
      <c r="F16" s="116">
        <f>D16*E16</f>
        <v>18.143999999999998</v>
      </c>
      <c r="G16" s="7"/>
      <c r="H16" s="7"/>
    </row>
    <row r="17" spans="1:8" ht="14.45" x14ac:dyDescent="0.3">
      <c r="A17" s="117" t="str">
        <f>A8</f>
        <v>011</v>
      </c>
      <c r="B17" s="126" t="str">
        <f>VLOOKUP(A17,TRANS!A:H,2,0)</f>
        <v>Piedra Partida 6-20 mm</v>
      </c>
      <c r="C17" s="127" t="str">
        <f>VLOOKUP(A17,TRANS!A:J,3,0)</f>
        <v>tn</v>
      </c>
      <c r="D17" s="151">
        <f t="shared" ref="D17:D21" si="1">D8</f>
        <v>6.2160000000000007E-2</v>
      </c>
      <c r="E17" s="128">
        <f>VLOOKUP(A17,TRANS!A:J,5,0)</f>
        <v>300</v>
      </c>
      <c r="F17" s="118">
        <f t="shared" ref="F17:F21" si="2">D17*E17</f>
        <v>18.648000000000003</v>
      </c>
      <c r="G17" s="7"/>
      <c r="H17" s="7"/>
    </row>
    <row r="18" spans="1:8" ht="14.45" x14ac:dyDescent="0.3">
      <c r="A18" s="117" t="str">
        <f>A9</f>
        <v>012</v>
      </c>
      <c r="B18" s="126" t="str">
        <f>VLOOKUP(A18,TRANS!A:H,2,0)</f>
        <v>Cal hidraulica hidratada, 65% CUV</v>
      </c>
      <c r="C18" s="127" t="str">
        <f>VLOOKUP(A18,TRANS!A:J,3,0)</f>
        <v>tn</v>
      </c>
      <c r="D18" s="151">
        <f t="shared" si="1"/>
        <v>2.7999999999999998E-4</v>
      </c>
      <c r="E18" s="128">
        <f>VLOOKUP(A18,TRANS!A:J,5,0)</f>
        <v>350</v>
      </c>
      <c r="F18" s="118">
        <f t="shared" si="2"/>
        <v>9.799999999999999E-2</v>
      </c>
      <c r="G18" s="7"/>
      <c r="H18" s="7"/>
    </row>
    <row r="19" spans="1:8" x14ac:dyDescent="0.25">
      <c r="A19" s="117" t="str">
        <f>A10</f>
        <v>013</v>
      </c>
      <c r="B19" s="126" t="str">
        <f>VLOOKUP(A19,TRANS!A:H,2,0)</f>
        <v>Cemento Asfáltico CA30</v>
      </c>
      <c r="C19" s="127" t="str">
        <f>VLOOKUP(A19,TRANS!A:J,3,0)</f>
        <v>tn</v>
      </c>
      <c r="D19" s="151">
        <f t="shared" si="1"/>
        <v>3.3599999999999997E-3</v>
      </c>
      <c r="E19" s="128">
        <f>VLOOKUP(A19,TRANS!A:J,5,0)</f>
        <v>20</v>
      </c>
      <c r="F19" s="118">
        <f t="shared" si="2"/>
        <v>6.7199999999999996E-2</v>
      </c>
      <c r="G19" s="7"/>
      <c r="H19" s="7"/>
    </row>
    <row r="20" spans="1:8" x14ac:dyDescent="0.25">
      <c r="A20" s="117" t="str">
        <f>A11</f>
        <v>025</v>
      </c>
      <c r="B20" s="126" t="str">
        <f>VLOOKUP(A20,TRANS!A:H,2,0)</f>
        <v>Emulsión asfáltica p/riego de liga</v>
      </c>
      <c r="C20" s="127" t="str">
        <f>VLOOKUP(A20,TRANS!A:J,3,0)</f>
        <v>m2</v>
      </c>
      <c r="D20" s="151">
        <f t="shared" si="1"/>
        <v>1</v>
      </c>
      <c r="E20" s="128">
        <f>VLOOKUP(A20,TRANS!A:J,5,0)</f>
        <v>10</v>
      </c>
      <c r="F20" s="118">
        <f t="shared" si="2"/>
        <v>10</v>
      </c>
      <c r="G20" s="7"/>
      <c r="H20" s="7"/>
    </row>
    <row r="21" spans="1:8" thickBot="1" x14ac:dyDescent="0.35">
      <c r="A21" s="119" t="str">
        <f t="shared" ref="A21" si="3">A12</f>
        <v>026</v>
      </c>
      <c r="B21" s="135" t="str">
        <f>VLOOKUP(A21,TRANS!A:H,2,0)</f>
        <v>Fuel Oil</v>
      </c>
      <c r="C21" s="136" t="str">
        <f>VLOOKUP(A21,TRANS!A:J,3,0)</f>
        <v>tn</v>
      </c>
      <c r="D21" s="153">
        <f t="shared" si="1"/>
        <v>1.82E-3</v>
      </c>
      <c r="E21" s="137">
        <f>VLOOKUP(A21,TRANS!A:J,5,0)</f>
        <v>0</v>
      </c>
      <c r="F21" s="124">
        <f t="shared" si="2"/>
        <v>0</v>
      </c>
      <c r="G21" s="7"/>
      <c r="H21" s="7"/>
    </row>
    <row r="22" spans="1:8" thickBot="1" x14ac:dyDescent="0.35">
      <c r="B22" s="17"/>
      <c r="C22" s="17"/>
      <c r="D22" s="24"/>
      <c r="E22" s="298" t="s">
        <v>64</v>
      </c>
      <c r="F22" s="308"/>
      <c r="G22" s="19">
        <f>+SUM(F16:F21)</f>
        <v>46.9572</v>
      </c>
      <c r="H22" s="7" t="s">
        <v>37</v>
      </c>
    </row>
    <row r="23" spans="1:8" thickBot="1" x14ac:dyDescent="0.35">
      <c r="B23" s="13"/>
      <c r="C23" s="13"/>
      <c r="D23" s="13"/>
      <c r="E23" s="17"/>
      <c r="F23" s="17"/>
      <c r="G23" s="17"/>
      <c r="H23" s="7"/>
    </row>
    <row r="24" spans="1:8" ht="29.45" thickBot="1" x14ac:dyDescent="0.35">
      <c r="A24" s="41" t="s">
        <v>63</v>
      </c>
      <c r="B24" s="30" t="s">
        <v>39</v>
      </c>
      <c r="C24" s="31"/>
      <c r="D24" s="31"/>
      <c r="E24" s="31"/>
      <c r="F24" s="16" t="s">
        <v>35</v>
      </c>
      <c r="G24" s="7"/>
      <c r="H24" s="7"/>
    </row>
    <row r="25" spans="1:8" thickBot="1" x14ac:dyDescent="0.35">
      <c r="A25" s="40"/>
      <c r="B25" s="150" t="s">
        <v>113</v>
      </c>
      <c r="C25" s="140"/>
      <c r="D25" s="140"/>
      <c r="E25" s="146"/>
      <c r="F25" s="147">
        <f>754.73*E4</f>
        <v>30.1892</v>
      </c>
      <c r="G25" s="7"/>
      <c r="H25" s="7"/>
    </row>
    <row r="26" spans="1:8" thickBot="1" x14ac:dyDescent="0.35">
      <c r="C26" s="17"/>
      <c r="D26" s="18"/>
      <c r="E26" s="298" t="s">
        <v>65</v>
      </c>
      <c r="F26" s="299"/>
      <c r="G26" s="19">
        <f>+SUM(F25:F25)</f>
        <v>30.1892</v>
      </c>
      <c r="H26" s="7" t="s">
        <v>37</v>
      </c>
    </row>
    <row r="27" spans="1:8" ht="14.45" x14ac:dyDescent="0.3">
      <c r="B27" s="7"/>
      <c r="C27" s="7"/>
      <c r="D27" s="7"/>
      <c r="E27" s="7"/>
      <c r="F27" s="7"/>
      <c r="G27" s="7"/>
      <c r="H27" s="7"/>
    </row>
    <row r="28" spans="1:8" thickBot="1" x14ac:dyDescent="0.35">
      <c r="B28" s="26"/>
      <c r="C28" s="27"/>
      <c r="D28" s="27"/>
      <c r="E28" s="28"/>
      <c r="F28" s="28"/>
      <c r="G28" s="29"/>
      <c r="H28" s="7"/>
    </row>
    <row r="29" spans="1:8" ht="29.45" thickBot="1" x14ac:dyDescent="0.35">
      <c r="A29" s="41" t="s">
        <v>63</v>
      </c>
      <c r="B29" s="30" t="s">
        <v>40</v>
      </c>
      <c r="C29" s="31"/>
      <c r="D29" s="31"/>
      <c r="E29" s="31"/>
      <c r="F29" s="16" t="s">
        <v>35</v>
      </c>
      <c r="G29" s="32"/>
      <c r="H29" s="32"/>
    </row>
    <row r="30" spans="1:8" thickBot="1" x14ac:dyDescent="0.35">
      <c r="A30" s="40"/>
      <c r="B30" s="150" t="s">
        <v>113</v>
      </c>
      <c r="C30" s="140"/>
      <c r="D30" s="140"/>
      <c r="E30" s="141"/>
      <c r="F30" s="142">
        <f>2140.98*E4</f>
        <v>85.639200000000002</v>
      </c>
      <c r="G30" s="7"/>
      <c r="H30" s="7"/>
    </row>
    <row r="31" spans="1:8" thickBot="1" x14ac:dyDescent="0.35">
      <c r="B31" s="17"/>
      <c r="C31" s="17"/>
      <c r="D31" s="18"/>
      <c r="E31" s="298" t="s">
        <v>41</v>
      </c>
      <c r="F31" s="299"/>
      <c r="G31" s="19">
        <f>F30</f>
        <v>85.639200000000002</v>
      </c>
      <c r="H31" s="7" t="s">
        <v>37</v>
      </c>
    </row>
    <row r="32" spans="1:8" thickBot="1" x14ac:dyDescent="0.35"/>
    <row r="33" spans="5:8" ht="15.75" thickBot="1" x14ac:dyDescent="0.3">
      <c r="E33" s="309" t="s">
        <v>66</v>
      </c>
      <c r="F33" s="310"/>
      <c r="G33" s="42">
        <f>+G26+G22+G13+G31</f>
        <v>1789.9290023333335</v>
      </c>
      <c r="H33" s="7" t="s">
        <v>37</v>
      </c>
    </row>
  </sheetData>
  <mergeCells count="9">
    <mergeCell ref="E26:F26"/>
    <mergeCell ref="E31:F31"/>
    <mergeCell ref="E33:F33"/>
    <mergeCell ref="B1:C1"/>
    <mergeCell ref="C2:G2"/>
    <mergeCell ref="E3:F3"/>
    <mergeCell ref="E4:F4"/>
    <mergeCell ref="E13:F13"/>
    <mergeCell ref="E22:F22"/>
  </mergeCells>
  <pageMargins left="0.7" right="0.7" top="0.75" bottom="0.75" header="0.3" footer="0.3"/>
  <pageSetup paperSize="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5">
    <tabColor theme="9"/>
  </sheetPr>
  <dimension ref="A1:H28"/>
  <sheetViews>
    <sheetView topLeftCell="A6" workbookViewId="0">
      <selection activeCell="H13" sqref="H13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233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117</v>
      </c>
      <c r="D3" s="3"/>
      <c r="E3" s="306" t="s">
        <v>30</v>
      </c>
      <c r="F3" s="307"/>
      <c r="G3" s="75" t="s">
        <v>7</v>
      </c>
      <c r="H3" s="7"/>
    </row>
    <row r="4" spans="1:8" thickBot="1" x14ac:dyDescent="0.35">
      <c r="B4" s="8" t="s">
        <v>42</v>
      </c>
      <c r="C4" s="9">
        <v>0.1</v>
      </c>
      <c r="D4" s="3" t="s">
        <v>43</v>
      </c>
      <c r="E4" s="306"/>
      <c r="F4" s="307"/>
      <c r="G4" s="76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x14ac:dyDescent="0.25">
      <c r="A7" s="111" t="str">
        <f>"022"</f>
        <v>022</v>
      </c>
      <c r="B7" s="112" t="str">
        <f>VLOOKUP(A7,MAT!A:H,2,0)</f>
        <v>Hº ELABORADO H-30</v>
      </c>
      <c r="C7" s="113" t="str">
        <f>VLOOKUP(A7,MAT!A:H,3,0)</f>
        <v>m3</v>
      </c>
      <c r="D7" s="148">
        <f>C4</f>
        <v>0.1</v>
      </c>
      <c r="E7" s="115">
        <f>VLOOKUP(A7,MAT!A:H,8,0)</f>
        <v>45941.01296</v>
      </c>
      <c r="F7" s="116">
        <f t="shared" ref="F7:F12" si="0">+D7*E7</f>
        <v>4594.1012959999998</v>
      </c>
      <c r="G7" s="7"/>
      <c r="H7" s="7"/>
    </row>
    <row r="8" spans="1:8" ht="14.45" x14ac:dyDescent="0.3">
      <c r="A8" s="117" t="str">
        <f>"004"</f>
        <v>004</v>
      </c>
      <c r="B8" s="107" t="str">
        <f>VLOOKUP(A8,MAT!A:H,2,0)</f>
        <v>Film de polietileno 200mic (rollo de 50x2m)</v>
      </c>
      <c r="C8" s="108" t="str">
        <f>VLOOKUP(A8,MAT!A:H,3,0)</f>
        <v>Unidad</v>
      </c>
      <c r="D8" s="144">
        <f>1/(50*2)</f>
        <v>0.01</v>
      </c>
      <c r="E8" s="110">
        <f>VLOOKUP(A8,MAT!A:H,8,0)</f>
        <v>14852</v>
      </c>
      <c r="F8" s="118">
        <f t="shared" si="0"/>
        <v>148.52000000000001</v>
      </c>
      <c r="G8" s="7"/>
      <c r="H8" s="7"/>
    </row>
    <row r="9" spans="1:8" ht="14.45" x14ac:dyDescent="0.3">
      <c r="A9" s="117" t="str">
        <f>"007"</f>
        <v>007</v>
      </c>
      <c r="B9" s="107" t="str">
        <f>VLOOKUP(A9,MAT!A:H,2,0)</f>
        <v>Arena fina</v>
      </c>
      <c r="C9" s="108" t="str">
        <f>VLOOKUP(A9,MAT!A:H,3,0)</f>
        <v>m3</v>
      </c>
      <c r="D9" s="144">
        <f>0.03*13/15</f>
        <v>2.6000000000000002E-2</v>
      </c>
      <c r="E9" s="110">
        <f>VLOOKUP(A9,MAT!A:H,8,0)</f>
        <v>3978</v>
      </c>
      <c r="F9" s="118">
        <f t="shared" si="0"/>
        <v>103.42800000000001</v>
      </c>
      <c r="G9" s="7"/>
      <c r="H9" s="7"/>
    </row>
    <row r="10" spans="1:8" ht="14.45" x14ac:dyDescent="0.3">
      <c r="A10" s="117" t="str">
        <f>"005"</f>
        <v>005</v>
      </c>
      <c r="B10" s="107" t="str">
        <f>VLOOKUP(A10,MAT!A:H,2,0)</f>
        <v>Barra Nervada de 10 mm</v>
      </c>
      <c r="C10" s="108" t="str">
        <f>VLOOKUP(A10,MAT!A:H,3,0)</f>
        <v>tn</v>
      </c>
      <c r="D10" s="109">
        <f>1/1000</f>
        <v>1E-3</v>
      </c>
      <c r="E10" s="110">
        <f>VLOOKUP(A10,MAT!A:H,8,0)</f>
        <v>441698</v>
      </c>
      <c r="F10" s="118">
        <f t="shared" si="0"/>
        <v>441.69800000000004</v>
      </c>
      <c r="G10" s="7"/>
      <c r="H10" s="7"/>
    </row>
    <row r="11" spans="1:8" ht="14.45" x14ac:dyDescent="0.3">
      <c r="A11" s="117" t="str">
        <f>"006"</f>
        <v>006</v>
      </c>
      <c r="B11" s="107" t="str">
        <f>VLOOKUP(A11,MAT!A:H,2,0)</f>
        <v>Barra redonda lisa 20 mm</v>
      </c>
      <c r="C11" s="108" t="str">
        <f>VLOOKUP(A11,MAT!A:H,3,0)</f>
        <v>tn</v>
      </c>
      <c r="D11" s="109">
        <f>0.9/1000</f>
        <v>8.9999999999999998E-4</v>
      </c>
      <c r="E11" s="110">
        <f>VLOOKUP(A11,MAT!A:H,8,0)</f>
        <v>441698</v>
      </c>
      <c r="F11" s="118">
        <f t="shared" si="0"/>
        <v>397.52819999999997</v>
      </c>
    </row>
    <row r="12" spans="1:8" thickBot="1" x14ac:dyDescent="0.35">
      <c r="A12" s="119" t="str">
        <f>"008"</f>
        <v>008</v>
      </c>
      <c r="B12" s="135" t="str">
        <f>VLOOKUP(A12,MAT!A:H,2,0)</f>
        <v>Liq. Curado base solvente</v>
      </c>
      <c r="C12" s="136" t="str">
        <f>VLOOKUP(A12,MAT!A:H,3,0)</f>
        <v>lt</v>
      </c>
      <c r="D12" s="149">
        <v>0.04</v>
      </c>
      <c r="E12" s="123">
        <f>VLOOKUP(A12,MAT!A:H,8,0)</f>
        <v>1500</v>
      </c>
      <c r="F12" s="124">
        <f t="shared" si="0"/>
        <v>60</v>
      </c>
      <c r="G12" s="143"/>
      <c r="H12" s="7"/>
    </row>
    <row r="13" spans="1:8" thickBot="1" x14ac:dyDescent="0.35">
      <c r="B13" s="17"/>
      <c r="C13" s="17"/>
      <c r="D13" s="18"/>
      <c r="E13" s="298" t="s">
        <v>36</v>
      </c>
      <c r="F13" s="299"/>
      <c r="G13" s="19">
        <f>+SUM(F7:F12)</f>
        <v>5745.2754960000002</v>
      </c>
      <c r="H13" s="11" t="s">
        <v>37</v>
      </c>
    </row>
    <row r="14" spans="1:8" thickBot="1" x14ac:dyDescent="0.35">
      <c r="B14" s="12"/>
      <c r="C14" s="12"/>
      <c r="D14" s="12"/>
      <c r="E14" s="20"/>
      <c r="F14" s="20"/>
      <c r="G14" s="7"/>
      <c r="H14" s="7"/>
    </row>
    <row r="15" spans="1:8" ht="29.45" thickBot="1" x14ac:dyDescent="0.35">
      <c r="A15" s="74" t="s">
        <v>63</v>
      </c>
      <c r="B15" s="30" t="s">
        <v>38</v>
      </c>
      <c r="C15" s="31" t="str">
        <f>+C6</f>
        <v>UNIDAD</v>
      </c>
      <c r="D15" s="31" t="str">
        <f>+D6</f>
        <v>CUANTIA</v>
      </c>
      <c r="E15" s="31" t="str">
        <f>+E6</f>
        <v>PRECIO</v>
      </c>
      <c r="F15" s="125" t="str">
        <f>+F6</f>
        <v>COSTO TOTAL</v>
      </c>
      <c r="G15" s="7"/>
      <c r="H15" s="7"/>
    </row>
    <row r="16" spans="1:8" x14ac:dyDescent="0.25">
      <c r="A16" s="111" t="str">
        <f>"022"</f>
        <v>022</v>
      </c>
      <c r="B16" s="130" t="str">
        <f>VLOOKUP(A16,TRANS!A:H,2,0)</f>
        <v>Hº ELABORADO H-30</v>
      </c>
      <c r="C16" s="131" t="str">
        <f>VLOOKUP(A16,TRANS!A:J,3,0)</f>
        <v>m3</v>
      </c>
      <c r="D16" s="148">
        <f>D7</f>
        <v>0.1</v>
      </c>
      <c r="E16" s="132">
        <f>VLOOKUP(A16,TRANS!A:J,5,0)</f>
        <v>20</v>
      </c>
      <c r="F16" s="116">
        <f>D16*E16</f>
        <v>2</v>
      </c>
      <c r="G16" s="7"/>
      <c r="H16" s="7"/>
    </row>
    <row r="17" spans="1:8" ht="14.45" x14ac:dyDescent="0.3">
      <c r="A17" s="117" t="str">
        <f>"004"</f>
        <v>004</v>
      </c>
      <c r="B17" s="126" t="str">
        <f>VLOOKUP(A17,TRANS!A:H,2,0)</f>
        <v>Film de polietileno 200mic (rollo de 50x2m)</v>
      </c>
      <c r="C17" s="127" t="str">
        <f>VLOOKUP(A17,TRANS!A:J,3,0)</f>
        <v>Unidad</v>
      </c>
      <c r="D17" s="108">
        <f t="shared" ref="D17:D21" si="1">D8</f>
        <v>0.01</v>
      </c>
      <c r="E17" s="128">
        <f>VLOOKUP(A17,TRANS!A:J,5,0)</f>
        <v>0</v>
      </c>
      <c r="F17" s="118">
        <f t="shared" ref="F17:F21" si="2">D17*E17</f>
        <v>0</v>
      </c>
      <c r="G17" s="7"/>
      <c r="H17" s="7"/>
    </row>
    <row r="18" spans="1:8" ht="14.45" x14ac:dyDescent="0.3">
      <c r="A18" s="117" t="str">
        <f>"007"</f>
        <v>007</v>
      </c>
      <c r="B18" s="126" t="str">
        <f>VLOOKUP(A18,TRANS!A:H,2,0)</f>
        <v>Arena fina</v>
      </c>
      <c r="C18" s="127" t="str">
        <f>VLOOKUP(A18,TRANS!A:J,3,0)</f>
        <v>m3</v>
      </c>
      <c r="D18" s="108">
        <f t="shared" si="1"/>
        <v>2.6000000000000002E-2</v>
      </c>
      <c r="E18" s="128">
        <f>VLOOKUP(A18,TRANS!A:J,5,0)</f>
        <v>20</v>
      </c>
      <c r="F18" s="118">
        <f t="shared" si="2"/>
        <v>0.52</v>
      </c>
      <c r="G18" s="7"/>
      <c r="H18" s="7"/>
    </row>
    <row r="19" spans="1:8" ht="14.45" x14ac:dyDescent="0.3">
      <c r="A19" s="117" t="str">
        <f>"005"</f>
        <v>005</v>
      </c>
      <c r="B19" s="126" t="str">
        <f>VLOOKUP(A19,TRANS!A:H,2,0)</f>
        <v>Barra Nervada de 10 mm</v>
      </c>
      <c r="C19" s="127" t="str">
        <f>VLOOKUP(A19,TRANS!A:J,3,0)</f>
        <v>tn</v>
      </c>
      <c r="D19" s="108">
        <f t="shared" si="1"/>
        <v>1E-3</v>
      </c>
      <c r="E19" s="128">
        <f>VLOOKUP(A19,TRANS!A:J,5,0)</f>
        <v>0</v>
      </c>
      <c r="F19" s="118">
        <f t="shared" si="2"/>
        <v>0</v>
      </c>
      <c r="G19" s="7"/>
      <c r="H19" s="7"/>
    </row>
    <row r="20" spans="1:8" ht="14.45" x14ac:dyDescent="0.3">
      <c r="A20" s="117" t="str">
        <f>"006"</f>
        <v>006</v>
      </c>
      <c r="B20" s="126" t="str">
        <f>VLOOKUP(A20,TRANS!A:H,2,0)</f>
        <v>Barra redonda lisa 20 mm</v>
      </c>
      <c r="C20" s="127" t="str">
        <f>VLOOKUP(A20,TRANS!A:J,3,0)</f>
        <v>tn</v>
      </c>
      <c r="D20" s="108">
        <f t="shared" si="1"/>
        <v>8.9999999999999998E-4</v>
      </c>
      <c r="E20" s="128">
        <f>VLOOKUP(A20,TRANS!A:J,5,0)</f>
        <v>0</v>
      </c>
      <c r="F20" s="118">
        <f t="shared" si="2"/>
        <v>0</v>
      </c>
    </row>
    <row r="21" spans="1:8" thickBot="1" x14ac:dyDescent="0.35">
      <c r="A21" s="119" t="str">
        <f>"008"</f>
        <v>008</v>
      </c>
      <c r="B21" s="135" t="str">
        <f>VLOOKUP(A21,TRANS!A:H,2,0)</f>
        <v>Liq. Curado base solvente</v>
      </c>
      <c r="C21" s="136" t="str">
        <f>VLOOKUP(A21,TRANS!A:J,3,0)</f>
        <v>lt</v>
      </c>
      <c r="D21" s="121">
        <f t="shared" si="1"/>
        <v>0.04</v>
      </c>
      <c r="E21" s="137">
        <f>VLOOKUP(A21,TRANS!A:J,5,0)</f>
        <v>0</v>
      </c>
      <c r="F21" s="124">
        <f t="shared" si="2"/>
        <v>0</v>
      </c>
      <c r="G21" s="7"/>
      <c r="H21" s="7"/>
    </row>
    <row r="22" spans="1:8" thickBot="1" x14ac:dyDescent="0.35">
      <c r="B22" s="17"/>
      <c r="C22" s="17"/>
      <c r="D22" s="24"/>
      <c r="E22" s="298" t="s">
        <v>64</v>
      </c>
      <c r="F22" s="308"/>
      <c r="G22" s="19">
        <f>+SUM(F16:F21)</f>
        <v>2.52</v>
      </c>
      <c r="H22" s="7" t="s">
        <v>37</v>
      </c>
    </row>
    <row r="23" spans="1:8" thickBot="1" x14ac:dyDescent="0.35">
      <c r="B23" s="13"/>
      <c r="C23" s="13"/>
      <c r="D23" s="13"/>
      <c r="E23" s="17"/>
      <c r="F23" s="17"/>
      <c r="G23" s="7"/>
      <c r="H23" s="7"/>
    </row>
    <row r="24" spans="1:8" ht="29.45" thickBot="1" x14ac:dyDescent="0.35">
      <c r="A24" s="74" t="s">
        <v>63</v>
      </c>
      <c r="B24" s="30" t="s">
        <v>177</v>
      </c>
      <c r="C24" s="31"/>
      <c r="D24" s="31"/>
      <c r="E24" s="31"/>
      <c r="F24" s="16" t="s">
        <v>35</v>
      </c>
      <c r="G24" s="7"/>
      <c r="H24" s="7"/>
    </row>
    <row r="25" spans="1:8" thickBot="1" x14ac:dyDescent="0.35">
      <c r="A25" s="138"/>
      <c r="B25" s="145" t="s">
        <v>178</v>
      </c>
      <c r="C25" s="140"/>
      <c r="D25" s="140"/>
      <c r="E25" s="146"/>
      <c r="F25" s="147">
        <f>G13*0.4</f>
        <v>2298.1101984000002</v>
      </c>
      <c r="G25" s="7"/>
      <c r="H25" s="7"/>
    </row>
    <row r="26" spans="1:8" thickBot="1" x14ac:dyDescent="0.35">
      <c r="B26" s="17"/>
      <c r="C26" s="17"/>
      <c r="D26" s="18"/>
      <c r="E26" s="298" t="s">
        <v>173</v>
      </c>
      <c r="F26" s="299"/>
      <c r="G26" s="19">
        <f>+SUM(F25:F25)</f>
        <v>2298.1101984000002</v>
      </c>
      <c r="H26" s="7" t="s">
        <v>37</v>
      </c>
    </row>
    <row r="27" spans="1:8" ht="15.75" thickBot="1" x14ac:dyDescent="0.3">
      <c r="B27" s="7"/>
      <c r="C27" s="7"/>
      <c r="D27" s="7"/>
      <c r="E27" s="7"/>
      <c r="F27" s="7"/>
      <c r="G27" s="7"/>
      <c r="H27" s="7"/>
    </row>
    <row r="28" spans="1:8" ht="15.75" thickBot="1" x14ac:dyDescent="0.3">
      <c r="E28" s="309" t="s">
        <v>66</v>
      </c>
      <c r="F28" s="310"/>
      <c r="G28" s="104">
        <f>+G22+G13+G26</f>
        <v>8045.9056944000004</v>
      </c>
      <c r="H28" s="7" t="s">
        <v>37</v>
      </c>
    </row>
  </sheetData>
  <mergeCells count="8">
    <mergeCell ref="E26:F26"/>
    <mergeCell ref="E28:F28"/>
    <mergeCell ref="B1:C1"/>
    <mergeCell ref="C2:G2"/>
    <mergeCell ref="E3:F3"/>
    <mergeCell ref="E4:F4"/>
    <mergeCell ref="E13:F13"/>
    <mergeCell ref="E22:F22"/>
  </mergeCells>
  <pageMargins left="0.7" right="0.7" top="0.75" bottom="0.75" header="0.3" footer="0.3"/>
  <pageSetup paperSize="9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6">
    <tabColor theme="9"/>
  </sheetPr>
  <dimension ref="A1:H28"/>
  <sheetViews>
    <sheetView topLeftCell="A10" workbookViewId="0">
      <selection activeCell="H13" sqref="H13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201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118</v>
      </c>
      <c r="D3" s="3"/>
      <c r="E3" s="306" t="s">
        <v>30</v>
      </c>
      <c r="F3" s="307"/>
      <c r="G3" s="75" t="s">
        <v>7</v>
      </c>
      <c r="H3" s="7"/>
    </row>
    <row r="4" spans="1:8" thickBot="1" x14ac:dyDescent="0.35">
      <c r="B4" s="8" t="s">
        <v>42</v>
      </c>
      <c r="C4" s="9">
        <v>0.13</v>
      </c>
      <c r="D4" s="3" t="s">
        <v>43</v>
      </c>
      <c r="E4" s="306"/>
      <c r="F4" s="307"/>
      <c r="G4" s="76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x14ac:dyDescent="0.25">
      <c r="A7" s="111" t="str">
        <f>"022"</f>
        <v>022</v>
      </c>
      <c r="B7" s="112" t="str">
        <f>VLOOKUP(A7,MAT!A:H,2,0)</f>
        <v>Hº ELABORADO H-30</v>
      </c>
      <c r="C7" s="113" t="str">
        <f>VLOOKUP(A7,MAT!A:H,3,0)</f>
        <v>m3</v>
      </c>
      <c r="D7" s="148">
        <f>C4</f>
        <v>0.13</v>
      </c>
      <c r="E7" s="115">
        <f>VLOOKUP(A7,MAT!A:H,8,0)</f>
        <v>45941.01296</v>
      </c>
      <c r="F7" s="116">
        <f t="shared" ref="F7:F12" si="0">+D7*E7</f>
        <v>5972.3316848000004</v>
      </c>
      <c r="G7" s="7"/>
      <c r="H7" s="7"/>
    </row>
    <row r="8" spans="1:8" ht="14.45" x14ac:dyDescent="0.3">
      <c r="A8" s="117" t="str">
        <f>"004"</f>
        <v>004</v>
      </c>
      <c r="B8" s="107" t="str">
        <f>VLOOKUP(A8,MAT!A:H,2,0)</f>
        <v>Film de polietileno 200mic (rollo de 50x2m)</v>
      </c>
      <c r="C8" s="108" t="str">
        <f>VLOOKUP(A8,MAT!A:H,3,0)</f>
        <v>Unidad</v>
      </c>
      <c r="D8" s="144">
        <f>1/(50*2)</f>
        <v>0.01</v>
      </c>
      <c r="E8" s="110">
        <f>VLOOKUP(A8,MAT!A:H,8,0)</f>
        <v>14852</v>
      </c>
      <c r="F8" s="118">
        <f t="shared" si="0"/>
        <v>148.52000000000001</v>
      </c>
      <c r="G8" s="7"/>
      <c r="H8" s="7"/>
    </row>
    <row r="9" spans="1:8" ht="14.45" x14ac:dyDescent="0.3">
      <c r="A9" s="117" t="str">
        <f>"007"</f>
        <v>007</v>
      </c>
      <c r="B9" s="107" t="str">
        <f>VLOOKUP(A9,MAT!A:H,2,0)</f>
        <v>Arena fina</v>
      </c>
      <c r="C9" s="108" t="str">
        <f>VLOOKUP(A9,MAT!A:H,3,0)</f>
        <v>m3</v>
      </c>
      <c r="D9" s="144">
        <f>0.03*13/15</f>
        <v>2.6000000000000002E-2</v>
      </c>
      <c r="E9" s="110">
        <f>VLOOKUP(A9,MAT!A:H,8,0)</f>
        <v>3978</v>
      </c>
      <c r="F9" s="118">
        <f t="shared" si="0"/>
        <v>103.42800000000001</v>
      </c>
      <c r="G9" s="7"/>
      <c r="H9" s="7"/>
    </row>
    <row r="10" spans="1:8" ht="14.45" x14ac:dyDescent="0.3">
      <c r="A10" s="117" t="str">
        <f>"005"</f>
        <v>005</v>
      </c>
      <c r="B10" s="107" t="str">
        <f>VLOOKUP(A10,MAT!A:H,2,0)</f>
        <v>Barra Nervada de 10 mm</v>
      </c>
      <c r="C10" s="108" t="str">
        <f>VLOOKUP(A10,MAT!A:H,3,0)</f>
        <v>tn</v>
      </c>
      <c r="D10" s="109">
        <f>1/1000</f>
        <v>1E-3</v>
      </c>
      <c r="E10" s="110">
        <f>VLOOKUP(A10,MAT!A:H,8,0)</f>
        <v>441698</v>
      </c>
      <c r="F10" s="118">
        <f t="shared" si="0"/>
        <v>441.69800000000004</v>
      </c>
      <c r="G10" s="7"/>
      <c r="H10" s="7"/>
    </row>
    <row r="11" spans="1:8" ht="14.45" x14ac:dyDescent="0.3">
      <c r="A11" s="117" t="str">
        <f>"006"</f>
        <v>006</v>
      </c>
      <c r="B11" s="107" t="str">
        <f>VLOOKUP(A11,MAT!A:H,2,0)</f>
        <v>Barra redonda lisa 20 mm</v>
      </c>
      <c r="C11" s="108" t="str">
        <f>VLOOKUP(A11,MAT!A:H,3,0)</f>
        <v>tn</v>
      </c>
      <c r="D11" s="109">
        <f>0.9/1000</f>
        <v>8.9999999999999998E-4</v>
      </c>
      <c r="E11" s="110">
        <f>VLOOKUP(A11,MAT!A:H,8,0)</f>
        <v>441698</v>
      </c>
      <c r="F11" s="118">
        <f t="shared" si="0"/>
        <v>397.52819999999997</v>
      </c>
    </row>
    <row r="12" spans="1:8" thickBot="1" x14ac:dyDescent="0.35">
      <c r="A12" s="119" t="str">
        <f>"008"</f>
        <v>008</v>
      </c>
      <c r="B12" s="135" t="str">
        <f>VLOOKUP(A12,MAT!A:H,2,0)</f>
        <v>Liq. Curado base solvente</v>
      </c>
      <c r="C12" s="136" t="str">
        <f>VLOOKUP(A12,MAT!A:H,3,0)</f>
        <v>lt</v>
      </c>
      <c r="D12" s="149">
        <v>0.04</v>
      </c>
      <c r="E12" s="123">
        <f>VLOOKUP(A12,MAT!A:H,8,0)</f>
        <v>1500</v>
      </c>
      <c r="F12" s="124">
        <f t="shared" si="0"/>
        <v>60</v>
      </c>
      <c r="G12" s="143"/>
      <c r="H12" s="7"/>
    </row>
    <row r="13" spans="1:8" thickBot="1" x14ac:dyDescent="0.35">
      <c r="B13" s="17"/>
      <c r="C13" s="17"/>
      <c r="D13" s="18"/>
      <c r="E13" s="298" t="s">
        <v>36</v>
      </c>
      <c r="F13" s="299"/>
      <c r="G13" s="19">
        <f>+SUM(F7:F12)</f>
        <v>7123.5058848000008</v>
      </c>
      <c r="H13" s="11" t="s">
        <v>37</v>
      </c>
    </row>
    <row r="14" spans="1:8" thickBot="1" x14ac:dyDescent="0.35">
      <c r="B14" s="12"/>
      <c r="C14" s="12"/>
      <c r="D14" s="12"/>
      <c r="E14" s="20"/>
      <c r="F14" s="20"/>
      <c r="G14" s="7"/>
      <c r="H14" s="7"/>
    </row>
    <row r="15" spans="1:8" ht="29.45" thickBot="1" x14ac:dyDescent="0.35">
      <c r="A15" s="74" t="s">
        <v>63</v>
      </c>
      <c r="B15" s="30" t="s">
        <v>38</v>
      </c>
      <c r="C15" s="31" t="str">
        <f>+C6</f>
        <v>UNIDAD</v>
      </c>
      <c r="D15" s="31" t="str">
        <f>+D6</f>
        <v>CUANTIA</v>
      </c>
      <c r="E15" s="31" t="str">
        <f>+E6</f>
        <v>PRECIO</v>
      </c>
      <c r="F15" s="125" t="str">
        <f>+F6</f>
        <v>COSTO TOTAL</v>
      </c>
      <c r="G15" s="7"/>
      <c r="H15" s="7"/>
    </row>
    <row r="16" spans="1:8" x14ac:dyDescent="0.25">
      <c r="A16" s="111" t="str">
        <f>"022"</f>
        <v>022</v>
      </c>
      <c r="B16" s="130" t="str">
        <f>VLOOKUP(A16,TRANS!A:H,2,0)</f>
        <v>Hº ELABORADO H-30</v>
      </c>
      <c r="C16" s="131" t="str">
        <f>VLOOKUP(A16,TRANS!A:J,3,0)</f>
        <v>m3</v>
      </c>
      <c r="D16" s="148">
        <f>D7</f>
        <v>0.13</v>
      </c>
      <c r="E16" s="132">
        <f>VLOOKUP(A16,TRANS!A:J,5,0)</f>
        <v>20</v>
      </c>
      <c r="F16" s="116">
        <f>D16*E16</f>
        <v>2.6</v>
      </c>
      <c r="G16" s="7"/>
      <c r="H16" s="7"/>
    </row>
    <row r="17" spans="1:8" ht="14.45" x14ac:dyDescent="0.3">
      <c r="A17" s="117" t="str">
        <f>"004"</f>
        <v>004</v>
      </c>
      <c r="B17" s="126" t="str">
        <f>VLOOKUP(A17,TRANS!A:H,2,0)</f>
        <v>Film de polietileno 200mic (rollo de 50x2m)</v>
      </c>
      <c r="C17" s="127" t="str">
        <f>VLOOKUP(A17,TRANS!A:J,3,0)</f>
        <v>Unidad</v>
      </c>
      <c r="D17" s="108">
        <f t="shared" ref="D17:D21" si="1">D8</f>
        <v>0.01</v>
      </c>
      <c r="E17" s="128">
        <f>VLOOKUP(A17,TRANS!A:J,5,0)</f>
        <v>0</v>
      </c>
      <c r="F17" s="118">
        <f t="shared" ref="F17:F21" si="2">D17*E17</f>
        <v>0</v>
      </c>
      <c r="G17" s="7"/>
      <c r="H17" s="7"/>
    </row>
    <row r="18" spans="1:8" ht="14.45" x14ac:dyDescent="0.3">
      <c r="A18" s="117" t="str">
        <f>"007"</f>
        <v>007</v>
      </c>
      <c r="B18" s="126" t="str">
        <f>VLOOKUP(A18,TRANS!A:H,2,0)</f>
        <v>Arena fina</v>
      </c>
      <c r="C18" s="127" t="str">
        <f>VLOOKUP(A18,TRANS!A:J,3,0)</f>
        <v>m3</v>
      </c>
      <c r="D18" s="108">
        <f t="shared" si="1"/>
        <v>2.6000000000000002E-2</v>
      </c>
      <c r="E18" s="128">
        <f>VLOOKUP(A18,TRANS!A:J,5,0)</f>
        <v>20</v>
      </c>
      <c r="F18" s="118">
        <f t="shared" si="2"/>
        <v>0.52</v>
      </c>
      <c r="G18" s="7"/>
      <c r="H18" s="7"/>
    </row>
    <row r="19" spans="1:8" ht="14.45" x14ac:dyDescent="0.3">
      <c r="A19" s="117" t="str">
        <f>"005"</f>
        <v>005</v>
      </c>
      <c r="B19" s="126" t="str">
        <f>VLOOKUP(A19,TRANS!A:H,2,0)</f>
        <v>Barra Nervada de 10 mm</v>
      </c>
      <c r="C19" s="127" t="str">
        <f>VLOOKUP(A19,TRANS!A:J,3,0)</f>
        <v>tn</v>
      </c>
      <c r="D19" s="108">
        <f t="shared" si="1"/>
        <v>1E-3</v>
      </c>
      <c r="E19" s="128">
        <f>VLOOKUP(A19,TRANS!A:J,5,0)</f>
        <v>0</v>
      </c>
      <c r="F19" s="118">
        <f t="shared" si="2"/>
        <v>0</v>
      </c>
      <c r="G19" s="7"/>
      <c r="H19" s="7"/>
    </row>
    <row r="20" spans="1:8" ht="14.45" x14ac:dyDescent="0.3">
      <c r="A20" s="117" t="str">
        <f>"006"</f>
        <v>006</v>
      </c>
      <c r="B20" s="126" t="str">
        <f>VLOOKUP(A20,TRANS!A:H,2,0)</f>
        <v>Barra redonda lisa 20 mm</v>
      </c>
      <c r="C20" s="127" t="str">
        <f>VLOOKUP(A20,TRANS!A:J,3,0)</f>
        <v>tn</v>
      </c>
      <c r="D20" s="108">
        <f t="shared" si="1"/>
        <v>8.9999999999999998E-4</v>
      </c>
      <c r="E20" s="128">
        <f>VLOOKUP(A20,TRANS!A:J,5,0)</f>
        <v>0</v>
      </c>
      <c r="F20" s="118">
        <f t="shared" si="2"/>
        <v>0</v>
      </c>
    </row>
    <row r="21" spans="1:8" thickBot="1" x14ac:dyDescent="0.35">
      <c r="A21" s="119" t="str">
        <f>"008"</f>
        <v>008</v>
      </c>
      <c r="B21" s="135" t="str">
        <f>VLOOKUP(A21,TRANS!A:H,2,0)</f>
        <v>Liq. Curado base solvente</v>
      </c>
      <c r="C21" s="136" t="str">
        <f>VLOOKUP(A21,TRANS!A:J,3,0)</f>
        <v>lt</v>
      </c>
      <c r="D21" s="121">
        <f t="shared" si="1"/>
        <v>0.04</v>
      </c>
      <c r="E21" s="137">
        <f>VLOOKUP(A21,TRANS!A:J,5,0)</f>
        <v>0</v>
      </c>
      <c r="F21" s="124">
        <f t="shared" si="2"/>
        <v>0</v>
      </c>
      <c r="G21" s="7"/>
      <c r="H21" s="7"/>
    </row>
    <row r="22" spans="1:8" thickBot="1" x14ac:dyDescent="0.35">
      <c r="B22" s="17"/>
      <c r="C22" s="17"/>
      <c r="D22" s="24"/>
      <c r="E22" s="298" t="s">
        <v>64</v>
      </c>
      <c r="F22" s="308"/>
      <c r="G22" s="19">
        <f>+SUM(F16:F21)</f>
        <v>3.12</v>
      </c>
      <c r="H22" s="7" t="s">
        <v>37</v>
      </c>
    </row>
    <row r="23" spans="1:8" thickBot="1" x14ac:dyDescent="0.35">
      <c r="B23" s="13"/>
      <c r="C23" s="13"/>
      <c r="D23" s="13"/>
      <c r="E23" s="17"/>
      <c r="F23" s="17"/>
      <c r="G23" s="7"/>
      <c r="H23" s="7"/>
    </row>
    <row r="24" spans="1:8" ht="29.45" thickBot="1" x14ac:dyDescent="0.35">
      <c r="A24" s="74" t="s">
        <v>63</v>
      </c>
      <c r="B24" s="30" t="s">
        <v>177</v>
      </c>
      <c r="C24" s="31"/>
      <c r="D24" s="31"/>
      <c r="E24" s="31"/>
      <c r="F24" s="16" t="s">
        <v>35</v>
      </c>
      <c r="G24" s="7"/>
      <c r="H24" s="7"/>
    </row>
    <row r="25" spans="1:8" thickBot="1" x14ac:dyDescent="0.35">
      <c r="A25" s="138"/>
      <c r="B25" s="145" t="s">
        <v>178</v>
      </c>
      <c r="C25" s="140"/>
      <c r="D25" s="140"/>
      <c r="E25" s="146"/>
      <c r="F25" s="147">
        <f>G13*0.4</f>
        <v>2849.4023539200007</v>
      </c>
      <c r="G25" s="7"/>
      <c r="H25" s="7"/>
    </row>
    <row r="26" spans="1:8" thickBot="1" x14ac:dyDescent="0.35">
      <c r="B26" s="17"/>
      <c r="C26" s="17"/>
      <c r="D26" s="18"/>
      <c r="E26" s="298" t="s">
        <v>173</v>
      </c>
      <c r="F26" s="299"/>
      <c r="G26" s="19">
        <f>+SUM(F25:F25)</f>
        <v>2849.4023539200007</v>
      </c>
      <c r="H26" s="7" t="s">
        <v>37</v>
      </c>
    </row>
    <row r="27" spans="1:8" thickBot="1" x14ac:dyDescent="0.35">
      <c r="B27" s="7"/>
      <c r="C27" s="7"/>
      <c r="D27" s="7"/>
      <c r="E27" s="7"/>
      <c r="F27" s="7"/>
      <c r="G27" s="7"/>
      <c r="H27" s="7"/>
    </row>
    <row r="28" spans="1:8" thickBot="1" x14ac:dyDescent="0.35">
      <c r="E28" s="309" t="s">
        <v>66</v>
      </c>
      <c r="F28" s="310"/>
      <c r="G28" s="104">
        <f>+G22+G13+G26</f>
        <v>9976.0282387200023</v>
      </c>
      <c r="H28" s="7" t="s">
        <v>37</v>
      </c>
    </row>
  </sheetData>
  <mergeCells count="8">
    <mergeCell ref="E26:F26"/>
    <mergeCell ref="E28:F28"/>
    <mergeCell ref="B1:C1"/>
    <mergeCell ref="C2:G2"/>
    <mergeCell ref="E3:F3"/>
    <mergeCell ref="E4:F4"/>
    <mergeCell ref="E13:F13"/>
    <mergeCell ref="E22:F22"/>
  </mergeCells>
  <pageMargins left="0.7" right="0.7" top="0.75" bottom="0.75" header="0.3" footer="0.3"/>
  <pageSetup paperSize="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7">
    <tabColor theme="9"/>
  </sheetPr>
  <dimension ref="A1:H28"/>
  <sheetViews>
    <sheetView topLeftCell="A8" workbookViewId="0">
      <selection activeCell="H13" sqref="H13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91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119</v>
      </c>
      <c r="D3" s="3"/>
      <c r="E3" s="306" t="s">
        <v>30</v>
      </c>
      <c r="F3" s="307"/>
      <c r="G3" s="75" t="s">
        <v>7</v>
      </c>
      <c r="H3" s="7"/>
    </row>
    <row r="4" spans="1:8" thickBot="1" x14ac:dyDescent="0.35">
      <c r="B4" s="8" t="s">
        <v>42</v>
      </c>
      <c r="C4" s="9">
        <v>0.15</v>
      </c>
      <c r="D4" s="3" t="s">
        <v>43</v>
      </c>
      <c r="E4" s="306"/>
      <c r="F4" s="307"/>
      <c r="G4" s="76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x14ac:dyDescent="0.25">
      <c r="A7" s="111" t="str">
        <f>"022"</f>
        <v>022</v>
      </c>
      <c r="B7" s="112" t="str">
        <f>VLOOKUP(A7,MAT!A:H,2,0)</f>
        <v>Hº ELABORADO H-30</v>
      </c>
      <c r="C7" s="113" t="str">
        <f>VLOOKUP(A7,MAT!A:H,3,0)</f>
        <v>m3</v>
      </c>
      <c r="D7" s="148">
        <f>C4</f>
        <v>0.15</v>
      </c>
      <c r="E7" s="115">
        <f>VLOOKUP(A7,MAT!A:H,8,0)</f>
        <v>45941.01296</v>
      </c>
      <c r="F7" s="116">
        <f t="shared" ref="F7:F12" si="0">+D7*E7</f>
        <v>6891.1519440000002</v>
      </c>
      <c r="G7" s="7"/>
      <c r="H7" s="7"/>
    </row>
    <row r="8" spans="1:8" ht="14.45" x14ac:dyDescent="0.3">
      <c r="A8" s="117" t="str">
        <f>"004"</f>
        <v>004</v>
      </c>
      <c r="B8" s="107" t="str">
        <f>VLOOKUP(A8,MAT!A:H,2,0)</f>
        <v>Film de polietileno 200mic (rollo de 50x2m)</v>
      </c>
      <c r="C8" s="108" t="str">
        <f>VLOOKUP(A8,MAT!A:H,3,0)</f>
        <v>Unidad</v>
      </c>
      <c r="D8" s="144">
        <f>1/(50*2)</f>
        <v>0.01</v>
      </c>
      <c r="E8" s="110">
        <f>VLOOKUP(A8,MAT!A:H,8,0)</f>
        <v>14852</v>
      </c>
      <c r="F8" s="118">
        <f t="shared" si="0"/>
        <v>148.52000000000001</v>
      </c>
      <c r="G8" s="7"/>
      <c r="H8" s="7"/>
    </row>
    <row r="9" spans="1:8" ht="14.45" x14ac:dyDescent="0.3">
      <c r="A9" s="117" t="str">
        <f>"007"</f>
        <v>007</v>
      </c>
      <c r="B9" s="107" t="str">
        <f>VLOOKUP(A9,MAT!A:H,2,0)</f>
        <v>Arena fina</v>
      </c>
      <c r="C9" s="108" t="str">
        <f>VLOOKUP(A9,MAT!A:H,3,0)</f>
        <v>m3</v>
      </c>
      <c r="D9" s="144">
        <v>0.03</v>
      </c>
      <c r="E9" s="110">
        <f>VLOOKUP(A9,MAT!A:H,8,0)</f>
        <v>3978</v>
      </c>
      <c r="F9" s="118">
        <f t="shared" si="0"/>
        <v>119.33999999999999</v>
      </c>
      <c r="G9" s="7"/>
      <c r="H9" s="7"/>
    </row>
    <row r="10" spans="1:8" ht="14.45" x14ac:dyDescent="0.3">
      <c r="A10" s="117" t="str">
        <f>"005"</f>
        <v>005</v>
      </c>
      <c r="B10" s="107" t="str">
        <f>VLOOKUP(A10,MAT!A:H,2,0)</f>
        <v>Barra Nervada de 10 mm</v>
      </c>
      <c r="C10" s="108" t="str">
        <f>VLOOKUP(A10,MAT!A:H,3,0)</f>
        <v>tn</v>
      </c>
      <c r="D10" s="109">
        <f>1/1000</f>
        <v>1E-3</v>
      </c>
      <c r="E10" s="110">
        <f>VLOOKUP(A10,MAT!A:H,8,0)</f>
        <v>441698</v>
      </c>
      <c r="F10" s="118">
        <f t="shared" si="0"/>
        <v>441.69800000000004</v>
      </c>
      <c r="G10" s="7"/>
      <c r="H10" s="7"/>
    </row>
    <row r="11" spans="1:8" ht="14.45" x14ac:dyDescent="0.3">
      <c r="A11" s="117" t="str">
        <f>"006"</f>
        <v>006</v>
      </c>
      <c r="B11" s="107" t="str">
        <f>VLOOKUP(A11,MAT!A:H,2,0)</f>
        <v>Barra redonda lisa 20 mm</v>
      </c>
      <c r="C11" s="108" t="str">
        <f>VLOOKUP(A11,MAT!A:H,3,0)</f>
        <v>tn</v>
      </c>
      <c r="D11" s="109">
        <f>0.9/1000</f>
        <v>8.9999999999999998E-4</v>
      </c>
      <c r="E11" s="110">
        <f>VLOOKUP(A11,MAT!A:H,8,0)</f>
        <v>441698</v>
      </c>
      <c r="F11" s="118">
        <f t="shared" si="0"/>
        <v>397.52819999999997</v>
      </c>
    </row>
    <row r="12" spans="1:8" thickBot="1" x14ac:dyDescent="0.35">
      <c r="A12" s="119" t="str">
        <f>"008"</f>
        <v>008</v>
      </c>
      <c r="B12" s="135" t="str">
        <f>VLOOKUP(A12,MAT!A:H,2,0)</f>
        <v>Liq. Curado base solvente</v>
      </c>
      <c r="C12" s="136" t="str">
        <f>VLOOKUP(A12,MAT!A:H,3,0)</f>
        <v>lt</v>
      </c>
      <c r="D12" s="149">
        <v>0.04</v>
      </c>
      <c r="E12" s="123">
        <f>VLOOKUP(A12,MAT!A:H,8,0)</f>
        <v>1500</v>
      </c>
      <c r="F12" s="124">
        <f t="shared" si="0"/>
        <v>60</v>
      </c>
      <c r="G12" s="143"/>
      <c r="H12" s="7"/>
    </row>
    <row r="13" spans="1:8" thickBot="1" x14ac:dyDescent="0.35">
      <c r="B13" s="17"/>
      <c r="C13" s="17"/>
      <c r="D13" s="18"/>
      <c r="E13" s="298" t="s">
        <v>36</v>
      </c>
      <c r="F13" s="299"/>
      <c r="G13" s="19">
        <f>+SUM(F7:F12)</f>
        <v>8058.2381440000008</v>
      </c>
      <c r="H13" s="11" t="s">
        <v>37</v>
      </c>
    </row>
    <row r="14" spans="1:8" thickBot="1" x14ac:dyDescent="0.35">
      <c r="B14" s="12"/>
      <c r="C14" s="12"/>
      <c r="D14" s="12"/>
      <c r="E14" s="20"/>
      <c r="F14" s="20"/>
      <c r="G14" s="7"/>
      <c r="H14" s="7"/>
    </row>
    <row r="15" spans="1:8" ht="29.45" thickBot="1" x14ac:dyDescent="0.35">
      <c r="A15" s="74" t="s">
        <v>63</v>
      </c>
      <c r="B15" s="30" t="s">
        <v>38</v>
      </c>
      <c r="C15" s="31" t="str">
        <f>+C6</f>
        <v>UNIDAD</v>
      </c>
      <c r="D15" s="31" t="str">
        <f>+D6</f>
        <v>CUANTIA</v>
      </c>
      <c r="E15" s="31" t="str">
        <f>+E6</f>
        <v>PRECIO</v>
      </c>
      <c r="F15" s="125" t="str">
        <f>+F6</f>
        <v>COSTO TOTAL</v>
      </c>
      <c r="G15" s="7"/>
      <c r="H15" s="7"/>
    </row>
    <row r="16" spans="1:8" x14ac:dyDescent="0.25">
      <c r="A16" s="111" t="str">
        <f>"022"</f>
        <v>022</v>
      </c>
      <c r="B16" s="130" t="str">
        <f>VLOOKUP(A16,TRANS!A:H,2,0)</f>
        <v>Hº ELABORADO H-30</v>
      </c>
      <c r="C16" s="131" t="str">
        <f>VLOOKUP(A16,TRANS!A:J,3,0)</f>
        <v>m3</v>
      </c>
      <c r="D16" s="148">
        <f>D7</f>
        <v>0.15</v>
      </c>
      <c r="E16" s="132">
        <f>VLOOKUP(A16,TRANS!A:J,5,0)</f>
        <v>20</v>
      </c>
      <c r="F16" s="116">
        <f>D16*E16</f>
        <v>3</v>
      </c>
      <c r="G16" s="7"/>
      <c r="H16" s="7"/>
    </row>
    <row r="17" spans="1:8" ht="14.45" x14ac:dyDescent="0.3">
      <c r="A17" s="117" t="str">
        <f>"004"</f>
        <v>004</v>
      </c>
      <c r="B17" s="126" t="str">
        <f>VLOOKUP(A17,TRANS!A:H,2,0)</f>
        <v>Film de polietileno 200mic (rollo de 50x2m)</v>
      </c>
      <c r="C17" s="127" t="str">
        <f>VLOOKUP(A17,TRANS!A:J,3,0)</f>
        <v>Unidad</v>
      </c>
      <c r="D17" s="108">
        <f t="shared" ref="D17:D21" si="1">D8</f>
        <v>0.01</v>
      </c>
      <c r="E17" s="128">
        <f>VLOOKUP(A17,TRANS!A:J,5,0)</f>
        <v>0</v>
      </c>
      <c r="F17" s="118">
        <f t="shared" ref="F17:F21" si="2">D17*E17</f>
        <v>0</v>
      </c>
      <c r="G17" s="7"/>
      <c r="H17" s="7"/>
    </row>
    <row r="18" spans="1:8" ht="14.45" x14ac:dyDescent="0.3">
      <c r="A18" s="117" t="str">
        <f>"007"</f>
        <v>007</v>
      </c>
      <c r="B18" s="126" t="str">
        <f>VLOOKUP(A18,TRANS!A:H,2,0)</f>
        <v>Arena fina</v>
      </c>
      <c r="C18" s="127" t="str">
        <f>VLOOKUP(A18,TRANS!A:J,3,0)</f>
        <v>m3</v>
      </c>
      <c r="D18" s="108">
        <f t="shared" si="1"/>
        <v>0.03</v>
      </c>
      <c r="E18" s="128">
        <f>VLOOKUP(A18,TRANS!A:J,5,0)</f>
        <v>20</v>
      </c>
      <c r="F18" s="118">
        <f t="shared" si="2"/>
        <v>0.6</v>
      </c>
      <c r="G18" s="7"/>
      <c r="H18" s="7"/>
    </row>
    <row r="19" spans="1:8" ht="14.45" x14ac:dyDescent="0.3">
      <c r="A19" s="117" t="str">
        <f>"005"</f>
        <v>005</v>
      </c>
      <c r="B19" s="126" t="str">
        <f>VLOOKUP(A19,TRANS!A:H,2,0)</f>
        <v>Barra Nervada de 10 mm</v>
      </c>
      <c r="C19" s="127" t="str">
        <f>VLOOKUP(A19,TRANS!A:J,3,0)</f>
        <v>tn</v>
      </c>
      <c r="D19" s="108">
        <f t="shared" si="1"/>
        <v>1E-3</v>
      </c>
      <c r="E19" s="128">
        <f>VLOOKUP(A19,TRANS!A:J,5,0)</f>
        <v>0</v>
      </c>
      <c r="F19" s="118">
        <f t="shared" si="2"/>
        <v>0</v>
      </c>
      <c r="G19" s="7"/>
      <c r="H19" s="7"/>
    </row>
    <row r="20" spans="1:8" ht="14.45" x14ac:dyDescent="0.3">
      <c r="A20" s="117" t="str">
        <f>"006"</f>
        <v>006</v>
      </c>
      <c r="B20" s="126" t="str">
        <f>VLOOKUP(A20,TRANS!A:H,2,0)</f>
        <v>Barra redonda lisa 20 mm</v>
      </c>
      <c r="C20" s="127" t="str">
        <f>VLOOKUP(A20,TRANS!A:J,3,0)</f>
        <v>tn</v>
      </c>
      <c r="D20" s="108">
        <f t="shared" si="1"/>
        <v>8.9999999999999998E-4</v>
      </c>
      <c r="E20" s="128">
        <f>VLOOKUP(A20,TRANS!A:J,5,0)</f>
        <v>0</v>
      </c>
      <c r="F20" s="118">
        <f t="shared" si="2"/>
        <v>0</v>
      </c>
    </row>
    <row r="21" spans="1:8" thickBot="1" x14ac:dyDescent="0.35">
      <c r="A21" s="119" t="str">
        <f>"008"</f>
        <v>008</v>
      </c>
      <c r="B21" s="135" t="str">
        <f>VLOOKUP(A21,TRANS!A:H,2,0)</f>
        <v>Liq. Curado base solvente</v>
      </c>
      <c r="C21" s="136" t="str">
        <f>VLOOKUP(A21,TRANS!A:J,3,0)</f>
        <v>lt</v>
      </c>
      <c r="D21" s="121">
        <f t="shared" si="1"/>
        <v>0.04</v>
      </c>
      <c r="E21" s="137">
        <f>VLOOKUP(A21,TRANS!A:J,5,0)</f>
        <v>0</v>
      </c>
      <c r="F21" s="124">
        <f t="shared" si="2"/>
        <v>0</v>
      </c>
      <c r="G21" s="7"/>
      <c r="H21" s="7"/>
    </row>
    <row r="22" spans="1:8" thickBot="1" x14ac:dyDescent="0.35">
      <c r="B22" s="17"/>
      <c r="C22" s="17"/>
      <c r="D22" s="24"/>
      <c r="E22" s="298" t="s">
        <v>64</v>
      </c>
      <c r="F22" s="308"/>
      <c r="G22" s="19">
        <f>+SUM(F16:F21)</f>
        <v>3.6</v>
      </c>
      <c r="H22" s="7" t="s">
        <v>37</v>
      </c>
    </row>
    <row r="23" spans="1:8" thickBot="1" x14ac:dyDescent="0.35">
      <c r="B23" s="13"/>
      <c r="C23" s="13"/>
      <c r="D23" s="13"/>
      <c r="E23" s="17"/>
      <c r="F23" s="17"/>
      <c r="G23" s="7"/>
      <c r="H23" s="7"/>
    </row>
    <row r="24" spans="1:8" ht="29.45" thickBot="1" x14ac:dyDescent="0.35">
      <c r="A24" s="74" t="s">
        <v>63</v>
      </c>
      <c r="B24" s="30" t="s">
        <v>177</v>
      </c>
      <c r="C24" s="31"/>
      <c r="D24" s="31"/>
      <c r="E24" s="31"/>
      <c r="F24" s="16" t="s">
        <v>35</v>
      </c>
      <c r="G24" s="7"/>
      <c r="H24" s="7"/>
    </row>
    <row r="25" spans="1:8" thickBot="1" x14ac:dyDescent="0.35">
      <c r="A25" s="138"/>
      <c r="B25" s="145" t="s">
        <v>178</v>
      </c>
      <c r="C25" s="140"/>
      <c r="D25" s="140"/>
      <c r="E25" s="146"/>
      <c r="F25" s="147">
        <f>G13*0.4</f>
        <v>3223.2952576000007</v>
      </c>
      <c r="G25" s="7"/>
      <c r="H25" s="7"/>
    </row>
    <row r="26" spans="1:8" thickBot="1" x14ac:dyDescent="0.35">
      <c r="B26" s="17"/>
      <c r="C26" s="17"/>
      <c r="D26" s="18"/>
      <c r="E26" s="298" t="s">
        <v>173</v>
      </c>
      <c r="F26" s="299"/>
      <c r="G26" s="19">
        <f>+SUM(F25:F25)</f>
        <v>3223.2952576000007</v>
      </c>
      <c r="H26" s="7" t="s">
        <v>37</v>
      </c>
    </row>
    <row r="27" spans="1:8" thickBot="1" x14ac:dyDescent="0.35">
      <c r="B27" s="7"/>
      <c r="C27" s="7"/>
      <c r="D27" s="7"/>
      <c r="E27" s="7"/>
      <c r="F27" s="7"/>
      <c r="G27" s="7"/>
      <c r="H27" s="7"/>
    </row>
    <row r="28" spans="1:8" thickBot="1" x14ac:dyDescent="0.35">
      <c r="E28" s="309" t="s">
        <v>66</v>
      </c>
      <c r="F28" s="310"/>
      <c r="G28" s="104">
        <f>+G22+G13+G26</f>
        <v>11285.133401600002</v>
      </c>
      <c r="H28" s="7" t="s">
        <v>37</v>
      </c>
    </row>
  </sheetData>
  <mergeCells count="8">
    <mergeCell ref="E28:F28"/>
    <mergeCell ref="B1:C1"/>
    <mergeCell ref="C2:G2"/>
    <mergeCell ref="E3:F3"/>
    <mergeCell ref="E4:F4"/>
    <mergeCell ref="E13:F13"/>
    <mergeCell ref="E22:F22"/>
    <mergeCell ref="E26:F26"/>
  </mergeCells>
  <pageMargins left="0.7" right="0.7" top="0.75" bottom="0.75" header="0.3" footer="0.3"/>
  <pageSetup paperSize="9" orientation="portrait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8">
    <tabColor theme="9"/>
  </sheetPr>
  <dimension ref="A1:H28"/>
  <sheetViews>
    <sheetView workbookViewId="0">
      <selection activeCell="H13" sqref="H13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202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132</v>
      </c>
      <c r="D3" s="3"/>
      <c r="E3" s="306" t="s">
        <v>30</v>
      </c>
      <c r="F3" s="307"/>
      <c r="G3" s="75" t="s">
        <v>7</v>
      </c>
      <c r="H3" s="7"/>
    </row>
    <row r="4" spans="1:8" thickBot="1" x14ac:dyDescent="0.35">
      <c r="B4" s="8" t="s">
        <v>42</v>
      </c>
      <c r="C4" s="9">
        <v>0.18</v>
      </c>
      <c r="D4" s="3" t="s">
        <v>43</v>
      </c>
      <c r="E4" s="306"/>
      <c r="F4" s="307"/>
      <c r="G4" s="76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x14ac:dyDescent="0.25">
      <c r="A7" s="111" t="str">
        <f>"022"</f>
        <v>022</v>
      </c>
      <c r="B7" s="112" t="str">
        <f>VLOOKUP(A7,MAT!A:H,2,0)</f>
        <v>Hº ELABORADO H-30</v>
      </c>
      <c r="C7" s="113" t="str">
        <f>VLOOKUP(A7,MAT!A:H,3,0)</f>
        <v>m3</v>
      </c>
      <c r="D7" s="148">
        <f>C4</f>
        <v>0.18</v>
      </c>
      <c r="E7" s="115">
        <f>VLOOKUP(A7,MAT!A:H,8,0)</f>
        <v>45941.01296</v>
      </c>
      <c r="F7" s="116">
        <f t="shared" ref="F7:F12" si="0">+D7*E7</f>
        <v>8269.3823327999999</v>
      </c>
      <c r="G7" s="7"/>
      <c r="H7" s="7"/>
    </row>
    <row r="8" spans="1:8" ht="14.45" x14ac:dyDescent="0.3">
      <c r="A8" s="117" t="str">
        <f>"004"</f>
        <v>004</v>
      </c>
      <c r="B8" s="107" t="str">
        <f>VLOOKUP(A8,MAT!A:H,2,0)</f>
        <v>Film de polietileno 200mic (rollo de 50x2m)</v>
      </c>
      <c r="C8" s="108" t="str">
        <f>VLOOKUP(A8,MAT!A:H,3,0)</f>
        <v>Unidad</v>
      </c>
      <c r="D8" s="144">
        <f>1/(50*2)</f>
        <v>0.01</v>
      </c>
      <c r="E8" s="110">
        <f>VLOOKUP(A8,MAT!A:H,8,0)</f>
        <v>14852</v>
      </c>
      <c r="F8" s="118">
        <f t="shared" si="0"/>
        <v>148.52000000000001</v>
      </c>
      <c r="G8" s="7"/>
      <c r="H8" s="7"/>
    </row>
    <row r="9" spans="1:8" ht="14.45" x14ac:dyDescent="0.3">
      <c r="A9" s="117" t="str">
        <f>"007"</f>
        <v>007</v>
      </c>
      <c r="B9" s="107" t="str">
        <f>VLOOKUP(A9,MAT!A:H,2,0)</f>
        <v>Arena fina</v>
      </c>
      <c r="C9" s="108" t="str">
        <f>VLOOKUP(A9,MAT!A:H,3,0)</f>
        <v>m3</v>
      </c>
      <c r="D9" s="144">
        <f>0.03*18/15</f>
        <v>3.6000000000000004E-2</v>
      </c>
      <c r="E9" s="110">
        <f>VLOOKUP(A9,MAT!A:H,8,0)</f>
        <v>3978</v>
      </c>
      <c r="F9" s="118">
        <f t="shared" si="0"/>
        <v>143.20800000000003</v>
      </c>
      <c r="G9" s="7"/>
      <c r="H9" s="7"/>
    </row>
    <row r="10" spans="1:8" ht="14.45" x14ac:dyDescent="0.3">
      <c r="A10" s="117" t="str">
        <f>"005"</f>
        <v>005</v>
      </c>
      <c r="B10" s="107" t="str">
        <f>VLOOKUP(A10,MAT!A:H,2,0)</f>
        <v>Barra Nervada de 10 mm</v>
      </c>
      <c r="C10" s="108" t="str">
        <f>VLOOKUP(A10,MAT!A:H,3,0)</f>
        <v>tn</v>
      </c>
      <c r="D10" s="109">
        <f>1/1000</f>
        <v>1E-3</v>
      </c>
      <c r="E10" s="110">
        <f>VLOOKUP(A10,MAT!A:H,8,0)</f>
        <v>441698</v>
      </c>
      <c r="F10" s="118">
        <f t="shared" si="0"/>
        <v>441.69800000000004</v>
      </c>
      <c r="G10" s="7"/>
      <c r="H10" s="7"/>
    </row>
    <row r="11" spans="1:8" ht="14.45" x14ac:dyDescent="0.3">
      <c r="A11" s="117" t="str">
        <f>"006"</f>
        <v>006</v>
      </c>
      <c r="B11" s="107" t="str">
        <f>VLOOKUP(A11,MAT!A:H,2,0)</f>
        <v>Barra redonda lisa 20 mm</v>
      </c>
      <c r="C11" s="108" t="str">
        <f>VLOOKUP(A11,MAT!A:H,3,0)</f>
        <v>tn</v>
      </c>
      <c r="D11" s="109">
        <f>0.9/1000</f>
        <v>8.9999999999999998E-4</v>
      </c>
      <c r="E11" s="110">
        <f>VLOOKUP(A11,MAT!A:H,8,0)</f>
        <v>441698</v>
      </c>
      <c r="F11" s="118">
        <f t="shared" si="0"/>
        <v>397.52819999999997</v>
      </c>
    </row>
    <row r="12" spans="1:8" thickBot="1" x14ac:dyDescent="0.35">
      <c r="A12" s="119" t="str">
        <f>"008"</f>
        <v>008</v>
      </c>
      <c r="B12" s="135" t="str">
        <f>VLOOKUP(A12,MAT!A:H,2,0)</f>
        <v>Liq. Curado base solvente</v>
      </c>
      <c r="C12" s="136" t="str">
        <f>VLOOKUP(A12,MAT!A:H,3,0)</f>
        <v>lt</v>
      </c>
      <c r="D12" s="149">
        <v>0.04</v>
      </c>
      <c r="E12" s="123">
        <f>VLOOKUP(A12,MAT!A:H,8,0)</f>
        <v>1500</v>
      </c>
      <c r="F12" s="124">
        <f t="shared" si="0"/>
        <v>60</v>
      </c>
      <c r="G12" s="143"/>
      <c r="H12" s="7"/>
    </row>
    <row r="13" spans="1:8" thickBot="1" x14ac:dyDescent="0.35">
      <c r="B13" s="17"/>
      <c r="C13" s="17"/>
      <c r="D13" s="18"/>
      <c r="E13" s="298" t="s">
        <v>36</v>
      </c>
      <c r="F13" s="299"/>
      <c r="G13" s="19">
        <f>+SUM(F7:F12)</f>
        <v>9460.3365328000018</v>
      </c>
      <c r="H13" s="11" t="s">
        <v>37</v>
      </c>
    </row>
    <row r="14" spans="1:8" thickBot="1" x14ac:dyDescent="0.35">
      <c r="B14" s="12"/>
      <c r="C14" s="12"/>
      <c r="D14" s="12"/>
      <c r="E14" s="20"/>
      <c r="F14" s="20"/>
      <c r="G14" s="7"/>
      <c r="H14" s="7"/>
    </row>
    <row r="15" spans="1:8" ht="29.45" thickBot="1" x14ac:dyDescent="0.35">
      <c r="A15" s="74" t="s">
        <v>63</v>
      </c>
      <c r="B15" s="30" t="s">
        <v>38</v>
      </c>
      <c r="C15" s="31" t="str">
        <f>+C6</f>
        <v>UNIDAD</v>
      </c>
      <c r="D15" s="31" t="str">
        <f>+D6</f>
        <v>CUANTIA</v>
      </c>
      <c r="E15" s="31" t="str">
        <f>+E6</f>
        <v>PRECIO</v>
      </c>
      <c r="F15" s="125" t="str">
        <f>+F6</f>
        <v>COSTO TOTAL</v>
      </c>
      <c r="G15" s="7"/>
      <c r="H15" s="7"/>
    </row>
    <row r="16" spans="1:8" x14ac:dyDescent="0.25">
      <c r="A16" s="111" t="str">
        <f>"022"</f>
        <v>022</v>
      </c>
      <c r="B16" s="130" t="str">
        <f>VLOOKUP(A16,TRANS!A:H,2,0)</f>
        <v>Hº ELABORADO H-30</v>
      </c>
      <c r="C16" s="131" t="str">
        <f>VLOOKUP(A16,TRANS!A:J,3,0)</f>
        <v>m3</v>
      </c>
      <c r="D16" s="148">
        <f>D7</f>
        <v>0.18</v>
      </c>
      <c r="E16" s="132">
        <f>VLOOKUP(A16,TRANS!A:J,5,0)</f>
        <v>20</v>
      </c>
      <c r="F16" s="116">
        <f>E16*D16</f>
        <v>3.5999999999999996</v>
      </c>
      <c r="G16" s="7"/>
      <c r="H16" s="7"/>
    </row>
    <row r="17" spans="1:8" ht="14.45" x14ac:dyDescent="0.3">
      <c r="A17" s="117" t="str">
        <f>"004"</f>
        <v>004</v>
      </c>
      <c r="B17" s="126" t="str">
        <f>VLOOKUP(A17,TRANS!A:H,2,0)</f>
        <v>Film de polietileno 200mic (rollo de 50x2m)</v>
      </c>
      <c r="C17" s="127" t="str">
        <f>VLOOKUP(A17,TRANS!A:J,3,0)</f>
        <v>Unidad</v>
      </c>
      <c r="D17" s="108">
        <f t="shared" ref="D17:D21" si="1">D8</f>
        <v>0.01</v>
      </c>
      <c r="E17" s="128">
        <f>VLOOKUP(A17,TRANS!A:J,5,0)</f>
        <v>0</v>
      </c>
      <c r="F17" s="118">
        <f t="shared" ref="F17:F21" si="2">E17*D17</f>
        <v>0</v>
      </c>
      <c r="G17" s="7"/>
      <c r="H17" s="7"/>
    </row>
    <row r="18" spans="1:8" ht="14.45" x14ac:dyDescent="0.3">
      <c r="A18" s="117" t="str">
        <f>"007"</f>
        <v>007</v>
      </c>
      <c r="B18" s="126" t="str">
        <f>VLOOKUP(A18,TRANS!A:H,2,0)</f>
        <v>Arena fina</v>
      </c>
      <c r="C18" s="127" t="str">
        <f>VLOOKUP(A18,TRANS!A:J,3,0)</f>
        <v>m3</v>
      </c>
      <c r="D18" s="108">
        <f t="shared" si="1"/>
        <v>3.6000000000000004E-2</v>
      </c>
      <c r="E18" s="128">
        <f>VLOOKUP(A18,TRANS!A:J,5,0)</f>
        <v>20</v>
      </c>
      <c r="F18" s="118">
        <f t="shared" si="2"/>
        <v>0.72000000000000008</v>
      </c>
      <c r="G18" s="7"/>
      <c r="H18" s="7"/>
    </row>
    <row r="19" spans="1:8" ht="14.45" x14ac:dyDescent="0.3">
      <c r="A19" s="117" t="str">
        <f>"005"</f>
        <v>005</v>
      </c>
      <c r="B19" s="126" t="str">
        <f>VLOOKUP(A19,TRANS!A:H,2,0)</f>
        <v>Barra Nervada de 10 mm</v>
      </c>
      <c r="C19" s="127" t="str">
        <f>VLOOKUP(A19,TRANS!A:J,3,0)</f>
        <v>tn</v>
      </c>
      <c r="D19" s="108">
        <f t="shared" si="1"/>
        <v>1E-3</v>
      </c>
      <c r="E19" s="128">
        <f>VLOOKUP(A19,TRANS!A:J,5,0)</f>
        <v>0</v>
      </c>
      <c r="F19" s="118">
        <f t="shared" si="2"/>
        <v>0</v>
      </c>
      <c r="G19" s="7"/>
      <c r="H19" s="7"/>
    </row>
    <row r="20" spans="1:8" ht="14.45" x14ac:dyDescent="0.3">
      <c r="A20" s="117" t="str">
        <f>"006"</f>
        <v>006</v>
      </c>
      <c r="B20" s="126" t="str">
        <f>VLOOKUP(A20,TRANS!A:H,2,0)</f>
        <v>Barra redonda lisa 20 mm</v>
      </c>
      <c r="C20" s="127" t="str">
        <f>VLOOKUP(A20,TRANS!A:J,3,0)</f>
        <v>tn</v>
      </c>
      <c r="D20" s="108">
        <f t="shared" si="1"/>
        <v>8.9999999999999998E-4</v>
      </c>
      <c r="E20" s="128">
        <f>VLOOKUP(A20,TRANS!A:J,5,0)</f>
        <v>0</v>
      </c>
      <c r="F20" s="118">
        <f t="shared" si="2"/>
        <v>0</v>
      </c>
    </row>
    <row r="21" spans="1:8" thickBot="1" x14ac:dyDescent="0.35">
      <c r="A21" s="119" t="str">
        <f>"008"</f>
        <v>008</v>
      </c>
      <c r="B21" s="135" t="str">
        <f>VLOOKUP(A21,TRANS!A:H,2,0)</f>
        <v>Liq. Curado base solvente</v>
      </c>
      <c r="C21" s="136" t="str">
        <f>VLOOKUP(A21,TRANS!A:J,3,0)</f>
        <v>lt</v>
      </c>
      <c r="D21" s="121">
        <f t="shared" si="1"/>
        <v>0.04</v>
      </c>
      <c r="E21" s="137">
        <f>VLOOKUP(A21,TRANS!A:J,5,0)</f>
        <v>0</v>
      </c>
      <c r="F21" s="124">
        <f t="shared" si="2"/>
        <v>0</v>
      </c>
      <c r="G21" s="7"/>
      <c r="H21" s="7"/>
    </row>
    <row r="22" spans="1:8" thickBot="1" x14ac:dyDescent="0.35">
      <c r="B22" s="17"/>
      <c r="C22" s="17"/>
      <c r="D22" s="24"/>
      <c r="E22" s="298" t="s">
        <v>64</v>
      </c>
      <c r="F22" s="308"/>
      <c r="G22" s="19">
        <f>+SUM(F16:F21)</f>
        <v>4.3199999999999994</v>
      </c>
      <c r="H22" s="7" t="s">
        <v>37</v>
      </c>
    </row>
    <row r="23" spans="1:8" ht="15.75" thickBot="1" x14ac:dyDescent="0.3">
      <c r="B23" s="13"/>
      <c r="C23" s="13"/>
      <c r="D23" s="13"/>
      <c r="E23" s="17"/>
      <c r="F23" s="17"/>
      <c r="G23" s="7"/>
      <c r="H23" s="7"/>
    </row>
    <row r="24" spans="1:8" ht="30.75" thickBot="1" x14ac:dyDescent="0.3">
      <c r="A24" s="74" t="s">
        <v>63</v>
      </c>
      <c r="B24" s="30" t="s">
        <v>177</v>
      </c>
      <c r="C24" s="31"/>
      <c r="D24" s="31"/>
      <c r="E24" s="31"/>
      <c r="F24" s="16" t="s">
        <v>35</v>
      </c>
      <c r="G24" s="7"/>
      <c r="H24" s="7"/>
    </row>
    <row r="25" spans="1:8" ht="15.75" thickBot="1" x14ac:dyDescent="0.3">
      <c r="A25" s="138"/>
      <c r="B25" s="145" t="s">
        <v>178</v>
      </c>
      <c r="C25" s="140"/>
      <c r="D25" s="140"/>
      <c r="E25" s="146"/>
      <c r="F25" s="147">
        <f>G13*0.4</f>
        <v>3784.1346131200007</v>
      </c>
      <c r="G25" s="7"/>
      <c r="H25" s="7"/>
    </row>
    <row r="26" spans="1:8" ht="15.75" thickBot="1" x14ac:dyDescent="0.3">
      <c r="B26" s="17"/>
      <c r="C26" s="17"/>
      <c r="D26" s="18"/>
      <c r="E26" s="298" t="s">
        <v>173</v>
      </c>
      <c r="F26" s="299"/>
      <c r="G26" s="19">
        <f>+SUM(F25:F25)</f>
        <v>3784.1346131200007</v>
      </c>
      <c r="H26" s="7" t="s">
        <v>37</v>
      </c>
    </row>
    <row r="27" spans="1:8" ht="15.75" thickBot="1" x14ac:dyDescent="0.3">
      <c r="B27" s="7"/>
      <c r="C27" s="7"/>
      <c r="D27" s="7"/>
      <c r="E27" s="7"/>
      <c r="F27" s="7"/>
      <c r="G27" s="7"/>
      <c r="H27" s="7"/>
    </row>
    <row r="28" spans="1:8" ht="15.75" thickBot="1" x14ac:dyDescent="0.3">
      <c r="E28" s="309" t="s">
        <v>66</v>
      </c>
      <c r="F28" s="310"/>
      <c r="G28" s="104">
        <f>+G22+G13+G26</f>
        <v>13248.791145920002</v>
      </c>
      <c r="H28" s="7" t="s">
        <v>37</v>
      </c>
    </row>
  </sheetData>
  <mergeCells count="8">
    <mergeCell ref="E26:F26"/>
    <mergeCell ref="E28:F28"/>
    <mergeCell ref="B1:C1"/>
    <mergeCell ref="C2:G2"/>
    <mergeCell ref="E3:F3"/>
    <mergeCell ref="E4:F4"/>
    <mergeCell ref="E13:F13"/>
    <mergeCell ref="E22:F22"/>
  </mergeCells>
  <pageMargins left="0.7" right="0.7" top="0.75" bottom="0.75" header="0.3" footer="0.3"/>
  <pageSetup paperSize="9" orientation="portrait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9">
    <tabColor theme="9"/>
  </sheetPr>
  <dimension ref="A1:H28"/>
  <sheetViews>
    <sheetView topLeftCell="A2" workbookViewId="0">
      <selection activeCell="G23" sqref="G23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203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232</v>
      </c>
      <c r="D3" s="3"/>
      <c r="E3" s="306" t="s">
        <v>30</v>
      </c>
      <c r="F3" s="307"/>
      <c r="G3" s="75" t="s">
        <v>7</v>
      </c>
      <c r="H3" s="7"/>
    </row>
    <row r="4" spans="1:8" thickBot="1" x14ac:dyDescent="0.35">
      <c r="B4" s="8" t="s">
        <v>42</v>
      </c>
      <c r="C4" s="9">
        <v>0.2</v>
      </c>
      <c r="D4" s="3" t="s">
        <v>43</v>
      </c>
      <c r="E4" s="306"/>
      <c r="F4" s="307"/>
      <c r="G4" s="76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x14ac:dyDescent="0.25">
      <c r="A7" s="111" t="str">
        <f>"022"</f>
        <v>022</v>
      </c>
      <c r="B7" s="112" t="str">
        <f>VLOOKUP(A7,MAT!A:H,2,0)</f>
        <v>Hº ELABORADO H-30</v>
      </c>
      <c r="C7" s="113" t="str">
        <f>VLOOKUP(A7,MAT!A:H,3,0)</f>
        <v>m3</v>
      </c>
      <c r="D7" s="148">
        <f>C4</f>
        <v>0.2</v>
      </c>
      <c r="E7" s="115">
        <f>VLOOKUP(A7,MAT!A:H,8,0)</f>
        <v>45941.01296</v>
      </c>
      <c r="F7" s="116">
        <f t="shared" ref="F7:F12" si="0">+D7*E7</f>
        <v>9188.2025919999996</v>
      </c>
      <c r="G7" s="7"/>
      <c r="H7" s="7"/>
    </row>
    <row r="8" spans="1:8" ht="14.45" x14ac:dyDescent="0.3">
      <c r="A8" s="117" t="str">
        <f>"004"</f>
        <v>004</v>
      </c>
      <c r="B8" s="107" t="str">
        <f>VLOOKUP(A8,MAT!A:H,2,0)</f>
        <v>Film de polietileno 200mic (rollo de 50x2m)</v>
      </c>
      <c r="C8" s="108" t="str">
        <f>VLOOKUP(A8,MAT!A:H,3,0)</f>
        <v>Unidad</v>
      </c>
      <c r="D8" s="144">
        <f>1/(50*2)</f>
        <v>0.01</v>
      </c>
      <c r="E8" s="110">
        <f>VLOOKUP(A8,MAT!A:H,8,0)</f>
        <v>14852</v>
      </c>
      <c r="F8" s="118">
        <f t="shared" si="0"/>
        <v>148.52000000000001</v>
      </c>
      <c r="G8" s="7"/>
      <c r="H8" s="7"/>
    </row>
    <row r="9" spans="1:8" ht="14.45" x14ac:dyDescent="0.3">
      <c r="A9" s="117" t="str">
        <f>"007"</f>
        <v>007</v>
      </c>
      <c r="B9" s="107" t="str">
        <f>VLOOKUP(A9,MAT!A:H,2,0)</f>
        <v>Arena fina</v>
      </c>
      <c r="C9" s="108" t="str">
        <f>VLOOKUP(A9,MAT!A:H,3,0)</f>
        <v>m3</v>
      </c>
      <c r="D9" s="144">
        <f>0.03*20/15</f>
        <v>0.04</v>
      </c>
      <c r="E9" s="110">
        <f>VLOOKUP(A9,MAT!A:H,8,0)</f>
        <v>3978</v>
      </c>
      <c r="F9" s="118">
        <f t="shared" si="0"/>
        <v>159.12</v>
      </c>
      <c r="G9" s="7"/>
      <c r="H9" s="7"/>
    </row>
    <row r="10" spans="1:8" ht="14.45" x14ac:dyDescent="0.3">
      <c r="A10" s="117" t="str">
        <f>"005"</f>
        <v>005</v>
      </c>
      <c r="B10" s="107" t="str">
        <f>VLOOKUP(A10,MAT!A:H,2,0)</f>
        <v>Barra Nervada de 10 mm</v>
      </c>
      <c r="C10" s="108" t="str">
        <f>VLOOKUP(A10,MAT!A:H,3,0)</f>
        <v>tn</v>
      </c>
      <c r="D10" s="109">
        <f>1/1000</f>
        <v>1E-3</v>
      </c>
      <c r="E10" s="110">
        <f>VLOOKUP(A10,MAT!A:H,8,0)</f>
        <v>441698</v>
      </c>
      <c r="F10" s="118">
        <f t="shared" si="0"/>
        <v>441.69800000000004</v>
      </c>
      <c r="G10" s="7"/>
      <c r="H10" s="7"/>
    </row>
    <row r="11" spans="1:8" ht="14.45" x14ac:dyDescent="0.3">
      <c r="A11" s="117" t="str">
        <f>"006"</f>
        <v>006</v>
      </c>
      <c r="B11" s="107" t="str">
        <f>VLOOKUP(A11,MAT!A:H,2,0)</f>
        <v>Barra redonda lisa 20 mm</v>
      </c>
      <c r="C11" s="108" t="str">
        <f>VLOOKUP(A11,MAT!A:H,3,0)</f>
        <v>tn</v>
      </c>
      <c r="D11" s="109">
        <f>0.9/1000</f>
        <v>8.9999999999999998E-4</v>
      </c>
      <c r="E11" s="110">
        <f>VLOOKUP(A11,MAT!A:H,8,0)</f>
        <v>441698</v>
      </c>
      <c r="F11" s="118">
        <f t="shared" si="0"/>
        <v>397.52819999999997</v>
      </c>
    </row>
    <row r="12" spans="1:8" thickBot="1" x14ac:dyDescent="0.35">
      <c r="A12" s="119" t="str">
        <f>"008"</f>
        <v>008</v>
      </c>
      <c r="B12" s="135" t="str">
        <f>VLOOKUP(A12,MAT!A:H,2,0)</f>
        <v>Liq. Curado base solvente</v>
      </c>
      <c r="C12" s="136" t="str">
        <f>VLOOKUP(A12,MAT!A:H,3,0)</f>
        <v>lt</v>
      </c>
      <c r="D12" s="149">
        <v>0.04</v>
      </c>
      <c r="E12" s="123">
        <f>VLOOKUP(A12,MAT!A:H,8,0)</f>
        <v>1500</v>
      </c>
      <c r="F12" s="124">
        <f t="shared" si="0"/>
        <v>60</v>
      </c>
      <c r="G12" s="143"/>
      <c r="H12" s="7"/>
    </row>
    <row r="13" spans="1:8" thickBot="1" x14ac:dyDescent="0.35">
      <c r="B13" s="17"/>
      <c r="C13" s="17"/>
      <c r="D13" s="18"/>
      <c r="E13" s="298" t="s">
        <v>36</v>
      </c>
      <c r="F13" s="299"/>
      <c r="G13" s="19">
        <f>+SUM(F7:F12)</f>
        <v>10395.068792000002</v>
      </c>
      <c r="H13" s="11" t="s">
        <v>37</v>
      </c>
    </row>
    <row r="14" spans="1:8" thickBot="1" x14ac:dyDescent="0.35">
      <c r="B14" s="12"/>
      <c r="C14" s="12"/>
      <c r="D14" s="12"/>
      <c r="E14" s="20"/>
      <c r="F14" s="20"/>
      <c r="G14" s="7"/>
      <c r="H14" s="7"/>
    </row>
    <row r="15" spans="1:8" ht="29.45" thickBot="1" x14ac:dyDescent="0.35">
      <c r="A15" s="74" t="s">
        <v>63</v>
      </c>
      <c r="B15" s="30" t="s">
        <v>38</v>
      </c>
      <c r="C15" s="31" t="str">
        <f>+C6</f>
        <v>UNIDAD</v>
      </c>
      <c r="D15" s="31" t="str">
        <f>+D6</f>
        <v>CUANTIA</v>
      </c>
      <c r="E15" s="31" t="str">
        <f>+E6</f>
        <v>PRECIO</v>
      </c>
      <c r="F15" s="125" t="str">
        <f>+F6</f>
        <v>COSTO TOTAL</v>
      </c>
      <c r="G15" s="7"/>
      <c r="H15" s="7"/>
    </row>
    <row r="16" spans="1:8" x14ac:dyDescent="0.25">
      <c r="A16" s="111" t="str">
        <f>"022"</f>
        <v>022</v>
      </c>
      <c r="B16" s="130" t="str">
        <f>VLOOKUP(A16,TRANS!A:H,2,0)</f>
        <v>Hº ELABORADO H-30</v>
      </c>
      <c r="C16" s="131" t="str">
        <f>VLOOKUP(A16,TRANS!A:J,3,0)</f>
        <v>m3</v>
      </c>
      <c r="D16" s="148">
        <f>D7</f>
        <v>0.2</v>
      </c>
      <c r="E16" s="132">
        <f>VLOOKUP(A16,TRANS!A:J,5,0)</f>
        <v>20</v>
      </c>
      <c r="F16" s="116">
        <f>D16*E16</f>
        <v>4</v>
      </c>
      <c r="G16" s="7"/>
      <c r="H16" s="7"/>
    </row>
    <row r="17" spans="1:8" ht="14.45" x14ac:dyDescent="0.3">
      <c r="A17" s="117" t="str">
        <f>"004"</f>
        <v>004</v>
      </c>
      <c r="B17" s="126" t="str">
        <f>VLOOKUP(A17,TRANS!A:H,2,0)</f>
        <v>Film de polietileno 200mic (rollo de 50x2m)</v>
      </c>
      <c r="C17" s="127" t="str">
        <f>VLOOKUP(A17,TRANS!A:J,3,0)</f>
        <v>Unidad</v>
      </c>
      <c r="D17" s="108">
        <f t="shared" ref="D17:D21" si="1">D8</f>
        <v>0.01</v>
      </c>
      <c r="E17" s="128">
        <f>VLOOKUP(A17,TRANS!A:J,5,0)</f>
        <v>0</v>
      </c>
      <c r="F17" s="118">
        <f t="shared" ref="F17:F21" si="2">D17*E17</f>
        <v>0</v>
      </c>
      <c r="G17" s="7"/>
      <c r="H17" s="7"/>
    </row>
    <row r="18" spans="1:8" ht="14.45" x14ac:dyDescent="0.3">
      <c r="A18" s="117" t="str">
        <f>"007"</f>
        <v>007</v>
      </c>
      <c r="B18" s="126" t="str">
        <f>VLOOKUP(A18,TRANS!A:H,2,0)</f>
        <v>Arena fina</v>
      </c>
      <c r="C18" s="127" t="str">
        <f>VLOOKUP(A18,TRANS!A:J,3,0)</f>
        <v>m3</v>
      </c>
      <c r="D18" s="108">
        <f t="shared" si="1"/>
        <v>0.04</v>
      </c>
      <c r="E18" s="128">
        <f>VLOOKUP(A18,TRANS!A:J,5,0)</f>
        <v>20</v>
      </c>
      <c r="F18" s="118">
        <f t="shared" si="2"/>
        <v>0.8</v>
      </c>
      <c r="G18" s="7"/>
      <c r="H18" s="7"/>
    </row>
    <row r="19" spans="1:8" ht="14.45" x14ac:dyDescent="0.3">
      <c r="A19" s="117" t="str">
        <f>"005"</f>
        <v>005</v>
      </c>
      <c r="B19" s="126" t="str">
        <f>VLOOKUP(A19,TRANS!A:H,2,0)</f>
        <v>Barra Nervada de 10 mm</v>
      </c>
      <c r="C19" s="127" t="str">
        <f>VLOOKUP(A19,TRANS!A:J,3,0)</f>
        <v>tn</v>
      </c>
      <c r="D19" s="108">
        <f t="shared" si="1"/>
        <v>1E-3</v>
      </c>
      <c r="E19" s="128">
        <f>VLOOKUP(A19,TRANS!A:J,5,0)</f>
        <v>0</v>
      </c>
      <c r="F19" s="118">
        <f t="shared" si="2"/>
        <v>0</v>
      </c>
      <c r="G19" s="7"/>
      <c r="H19" s="7"/>
    </row>
    <row r="20" spans="1:8" ht="14.45" x14ac:dyDescent="0.3">
      <c r="A20" s="117" t="str">
        <f>"006"</f>
        <v>006</v>
      </c>
      <c r="B20" s="126" t="str">
        <f>VLOOKUP(A20,TRANS!A:H,2,0)</f>
        <v>Barra redonda lisa 20 mm</v>
      </c>
      <c r="C20" s="127" t="str">
        <f>VLOOKUP(A20,TRANS!A:J,3,0)</f>
        <v>tn</v>
      </c>
      <c r="D20" s="108">
        <f t="shared" si="1"/>
        <v>8.9999999999999998E-4</v>
      </c>
      <c r="E20" s="128">
        <f>VLOOKUP(A20,TRANS!A:J,5,0)</f>
        <v>0</v>
      </c>
      <c r="F20" s="118">
        <f t="shared" si="2"/>
        <v>0</v>
      </c>
    </row>
    <row r="21" spans="1:8" thickBot="1" x14ac:dyDescent="0.35">
      <c r="A21" s="119" t="str">
        <f>"008"</f>
        <v>008</v>
      </c>
      <c r="B21" s="135" t="str">
        <f>VLOOKUP(A21,TRANS!A:H,2,0)</f>
        <v>Liq. Curado base solvente</v>
      </c>
      <c r="C21" s="136" t="str">
        <f>VLOOKUP(A21,TRANS!A:J,3,0)</f>
        <v>lt</v>
      </c>
      <c r="D21" s="121">
        <f t="shared" si="1"/>
        <v>0.04</v>
      </c>
      <c r="E21" s="137">
        <f>VLOOKUP(A21,TRANS!A:J,5,0)</f>
        <v>0</v>
      </c>
      <c r="F21" s="124">
        <f t="shared" si="2"/>
        <v>0</v>
      </c>
      <c r="G21" s="7"/>
      <c r="H21" s="7"/>
    </row>
    <row r="22" spans="1:8" thickBot="1" x14ac:dyDescent="0.35">
      <c r="B22" s="17"/>
      <c r="C22" s="17"/>
      <c r="D22" s="24"/>
      <c r="E22" s="298" t="s">
        <v>64</v>
      </c>
      <c r="F22" s="308"/>
      <c r="G22" s="19">
        <f>+SUM(F16:F21)</f>
        <v>4.8</v>
      </c>
      <c r="H22" s="7" t="s">
        <v>37</v>
      </c>
    </row>
    <row r="23" spans="1:8" thickBot="1" x14ac:dyDescent="0.35">
      <c r="B23" s="13"/>
      <c r="C23" s="13"/>
      <c r="D23" s="13"/>
      <c r="E23" s="17"/>
      <c r="F23" s="17"/>
      <c r="G23" s="7"/>
      <c r="H23" s="7"/>
    </row>
    <row r="24" spans="1:8" ht="30.75" thickBot="1" x14ac:dyDescent="0.3">
      <c r="A24" s="74" t="s">
        <v>63</v>
      </c>
      <c r="B24" s="30" t="s">
        <v>177</v>
      </c>
      <c r="C24" s="31"/>
      <c r="D24" s="31"/>
      <c r="E24" s="31"/>
      <c r="F24" s="16" t="s">
        <v>35</v>
      </c>
      <c r="G24" s="7"/>
      <c r="H24" s="7"/>
    </row>
    <row r="25" spans="1:8" ht="15.75" thickBot="1" x14ac:dyDescent="0.3">
      <c r="A25" s="138"/>
      <c r="B25" s="145" t="s">
        <v>178</v>
      </c>
      <c r="C25" s="140"/>
      <c r="D25" s="140"/>
      <c r="E25" s="146"/>
      <c r="F25" s="147">
        <f>G13*0.4</f>
        <v>4158.0275168000007</v>
      </c>
      <c r="G25" s="7"/>
      <c r="H25" s="7"/>
    </row>
    <row r="26" spans="1:8" ht="15.75" thickBot="1" x14ac:dyDescent="0.3">
      <c r="B26" s="17"/>
      <c r="C26" s="17"/>
      <c r="D26" s="18"/>
      <c r="E26" s="298" t="s">
        <v>173</v>
      </c>
      <c r="F26" s="299"/>
      <c r="G26" s="19">
        <f>+SUM(F25:F25)</f>
        <v>4158.0275168000007</v>
      </c>
      <c r="H26" s="7" t="s">
        <v>37</v>
      </c>
    </row>
    <row r="27" spans="1:8" ht="15.75" thickBot="1" x14ac:dyDescent="0.3">
      <c r="B27" s="7"/>
      <c r="C27" s="7"/>
      <c r="D27" s="7"/>
      <c r="E27" s="7"/>
      <c r="F27" s="7"/>
      <c r="G27" s="7"/>
      <c r="H27" s="7"/>
    </row>
    <row r="28" spans="1:8" ht="15.75" thickBot="1" x14ac:dyDescent="0.3">
      <c r="E28" s="309" t="s">
        <v>66</v>
      </c>
      <c r="F28" s="310"/>
      <c r="G28" s="104">
        <f>+G22+G13+G26</f>
        <v>14557.896308800002</v>
      </c>
      <c r="H28" s="7" t="s">
        <v>37</v>
      </c>
    </row>
  </sheetData>
  <mergeCells count="8">
    <mergeCell ref="E26:F26"/>
    <mergeCell ref="E28:F28"/>
    <mergeCell ref="B1:C1"/>
    <mergeCell ref="C2:G2"/>
    <mergeCell ref="E3:F3"/>
    <mergeCell ref="E4:F4"/>
    <mergeCell ref="E13:F13"/>
    <mergeCell ref="E22:F22"/>
  </mergeCells>
  <pageMargins left="0.7" right="0.7" top="0.75" bottom="0.75" header="0.3" footer="0.3"/>
  <pageSetup paperSize="9" orientation="portrait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0">
    <tabColor rgb="FF92D050"/>
  </sheetPr>
  <dimension ref="A1:M18"/>
  <sheetViews>
    <sheetView workbookViewId="0">
      <selection activeCell="G23" sqref="G23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  <col min="11" max="11" width="11.5703125" customWidth="1"/>
  </cols>
  <sheetData>
    <row r="1" spans="1:13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3" ht="16.5" thickBot="1" x14ac:dyDescent="0.3">
      <c r="B2" s="8" t="s">
        <v>28</v>
      </c>
      <c r="C2" s="304" t="s">
        <v>146</v>
      </c>
      <c r="D2" s="304"/>
      <c r="E2" s="304"/>
      <c r="F2" s="304"/>
      <c r="G2" s="305"/>
      <c r="H2" s="7"/>
    </row>
    <row r="3" spans="1:13" ht="15.75" thickBot="1" x14ac:dyDescent="0.3">
      <c r="B3" s="8" t="s">
        <v>112</v>
      </c>
      <c r="C3" s="9" t="s">
        <v>121</v>
      </c>
      <c r="D3" s="3"/>
      <c r="E3" s="306" t="s">
        <v>30</v>
      </c>
      <c r="F3" s="307"/>
      <c r="G3" s="76" t="s">
        <v>7</v>
      </c>
      <c r="H3" s="7"/>
    </row>
    <row r="4" spans="1:13" thickBot="1" x14ac:dyDescent="0.35">
      <c r="B4" s="8" t="s">
        <v>42</v>
      </c>
      <c r="C4" s="77">
        <v>0.05</v>
      </c>
      <c r="D4" s="3" t="s">
        <v>43</v>
      </c>
      <c r="E4" s="306"/>
      <c r="F4" s="307"/>
      <c r="G4" s="79"/>
      <c r="H4" s="11"/>
    </row>
    <row r="5" spans="1:13" thickBot="1" x14ac:dyDescent="0.35">
      <c r="B5" s="12"/>
      <c r="C5" s="12"/>
      <c r="D5" s="12"/>
      <c r="E5" s="12"/>
      <c r="F5" s="12"/>
      <c r="G5" s="13"/>
      <c r="H5" s="7"/>
    </row>
    <row r="6" spans="1:13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13" ht="15.75" thickBot="1" x14ac:dyDescent="0.3">
      <c r="A7" s="111" t="str">
        <f>"024"</f>
        <v>024</v>
      </c>
      <c r="B7" s="130" t="str">
        <f>VLOOKUP(A7,MAT!A:H,2,0)</f>
        <v>Ripio calcáreo 0-20 mm</v>
      </c>
      <c r="C7" s="131" t="str">
        <f>VLOOKUP(A7,MAT!A:H,3,0)</f>
        <v>m3</v>
      </c>
      <c r="D7" s="152">
        <f>1.15*C4</f>
        <v>5.7499999999999996E-2</v>
      </c>
      <c r="E7" s="115">
        <f>VLOOKUP(A7,MAT!A:H,8,0)</f>
        <v>4080</v>
      </c>
      <c r="F7" s="116">
        <f>+D7*E7</f>
        <v>234.6</v>
      </c>
      <c r="G7" s="7"/>
      <c r="H7" s="7"/>
    </row>
    <row r="8" spans="1:13" thickBot="1" x14ac:dyDescent="0.35">
      <c r="B8" s="17"/>
      <c r="C8" s="17"/>
      <c r="D8" s="18"/>
      <c r="E8" s="298" t="s">
        <v>36</v>
      </c>
      <c r="F8" s="299"/>
      <c r="G8" s="19">
        <f>+SUM(F7:F7)</f>
        <v>234.6</v>
      </c>
      <c r="H8" s="7" t="s">
        <v>37</v>
      </c>
    </row>
    <row r="9" spans="1:13" thickBot="1" x14ac:dyDescent="0.35">
      <c r="B9" s="12"/>
      <c r="C9" s="12"/>
      <c r="D9" s="12"/>
      <c r="E9" s="20"/>
      <c r="F9" s="20"/>
      <c r="G9" s="17"/>
      <c r="H9" s="7"/>
      <c r="M9" s="100"/>
    </row>
    <row r="10" spans="1:13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13" ht="15.75" thickBot="1" x14ac:dyDescent="0.3">
      <c r="A11" s="111" t="str">
        <f>"024"</f>
        <v>024</v>
      </c>
      <c r="B11" s="130" t="str">
        <f>VLOOKUP(A11,TRANS!A:H,2,0)</f>
        <v>Ripio calcáreo 0-20 mm</v>
      </c>
      <c r="C11" s="131" t="str">
        <f>VLOOKUP(A11,TRANS!A:J,3,0)</f>
        <v>m3</v>
      </c>
      <c r="D11" s="152">
        <f>D7</f>
        <v>5.7499999999999996E-2</v>
      </c>
      <c r="E11" s="132">
        <f>VLOOKUP(A11,TRANS!A:J,5,0)</f>
        <v>20</v>
      </c>
      <c r="F11" s="116">
        <f>D11*E11</f>
        <v>1.1499999999999999</v>
      </c>
      <c r="G11" s="7"/>
      <c r="H11" s="7"/>
    </row>
    <row r="12" spans="1:13" thickBot="1" x14ac:dyDescent="0.35">
      <c r="B12" s="17"/>
      <c r="C12" s="17"/>
      <c r="D12" s="24"/>
      <c r="E12" s="298" t="s">
        <v>64</v>
      </c>
      <c r="F12" s="308"/>
      <c r="G12" s="19">
        <f>+SUM(F11:F11)</f>
        <v>1.1499999999999999</v>
      </c>
      <c r="H12" s="7" t="s">
        <v>37</v>
      </c>
    </row>
    <row r="13" spans="1:13" thickBot="1" x14ac:dyDescent="0.35">
      <c r="B13" s="13"/>
      <c r="C13" s="13"/>
      <c r="D13" s="13"/>
      <c r="E13" s="17"/>
      <c r="F13" s="17"/>
      <c r="G13" s="17"/>
      <c r="H13" s="7"/>
    </row>
    <row r="14" spans="1:13" ht="29.45" thickBot="1" x14ac:dyDescent="0.35">
      <c r="A14" s="74" t="s">
        <v>63</v>
      </c>
      <c r="B14" s="30" t="s">
        <v>185</v>
      </c>
      <c r="C14" s="31"/>
      <c r="D14" s="31"/>
      <c r="E14" s="31"/>
      <c r="F14" s="16" t="s">
        <v>35</v>
      </c>
      <c r="G14" s="7"/>
      <c r="H14" s="7"/>
    </row>
    <row r="15" spans="1:13" thickBot="1" x14ac:dyDescent="0.35">
      <c r="A15" s="138"/>
      <c r="B15" s="145" t="s">
        <v>172</v>
      </c>
      <c r="C15" s="140"/>
      <c r="D15" s="140"/>
      <c r="E15" s="146"/>
      <c r="F15" s="147">
        <f>G8*0.4</f>
        <v>93.84</v>
      </c>
      <c r="G15" s="7"/>
      <c r="H15" s="7"/>
    </row>
    <row r="16" spans="1:13" thickBot="1" x14ac:dyDescent="0.35">
      <c r="B16" s="17"/>
      <c r="C16" s="17"/>
      <c r="D16" s="18"/>
      <c r="E16" s="298" t="s">
        <v>193</v>
      </c>
      <c r="F16" s="299"/>
      <c r="G16" s="19">
        <f>+SUM(F15:F15)</f>
        <v>93.84</v>
      </c>
      <c r="H16" s="7" t="s">
        <v>37</v>
      </c>
    </row>
    <row r="17" spans="2:8" thickBot="1" x14ac:dyDescent="0.35">
      <c r="B17" s="7"/>
      <c r="C17" s="7"/>
      <c r="D17" s="7"/>
      <c r="E17" s="7"/>
      <c r="F17" s="7"/>
      <c r="G17" s="7"/>
      <c r="H17" s="7"/>
    </row>
    <row r="18" spans="2:8" thickBot="1" x14ac:dyDescent="0.35">
      <c r="E18" s="300" t="s">
        <v>66</v>
      </c>
      <c r="F18" s="301"/>
      <c r="G18" s="78">
        <f>+G16+G12+G8</f>
        <v>329.59000000000003</v>
      </c>
      <c r="H18" s="7" t="s">
        <v>37</v>
      </c>
    </row>
  </sheetData>
  <mergeCells count="8">
    <mergeCell ref="E16:F16"/>
    <mergeCell ref="E18:F18"/>
    <mergeCell ref="B1:C1"/>
    <mergeCell ref="C2:G2"/>
    <mergeCell ref="E3:F3"/>
    <mergeCell ref="E4:F4"/>
    <mergeCell ref="E8:F8"/>
    <mergeCell ref="E12:F12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FF0000"/>
  </sheetPr>
  <dimension ref="A1:M35"/>
  <sheetViews>
    <sheetView workbookViewId="0">
      <selection activeCell="E21" sqref="E21"/>
    </sheetView>
  </sheetViews>
  <sheetFormatPr baseColWidth="10" defaultRowHeight="15" x14ac:dyDescent="0.25"/>
  <cols>
    <col min="1" max="1" width="5.7109375" customWidth="1"/>
    <col min="2" max="2" width="38.28515625" customWidth="1"/>
    <col min="3" max="3" width="6.7109375" bestFit="1" customWidth="1"/>
    <col min="4" max="4" width="11.28515625" bestFit="1" customWidth="1"/>
    <col min="5" max="5" width="13.42578125" customWidth="1"/>
    <col min="6" max="6" width="10.7109375" bestFit="1" customWidth="1"/>
    <col min="7" max="7" width="13.5703125" bestFit="1" customWidth="1"/>
    <col min="8" max="8" width="12.7109375" bestFit="1" customWidth="1"/>
    <col min="10" max="10" width="11.7109375" bestFit="1" customWidth="1"/>
    <col min="11" max="11" width="24.5703125" customWidth="1"/>
    <col min="12" max="12" width="12.7109375" customWidth="1"/>
    <col min="13" max="14" width="11.7109375" bestFit="1" customWidth="1"/>
  </cols>
  <sheetData>
    <row r="1" spans="1:13" ht="17.45" x14ac:dyDescent="0.3">
      <c r="A1" s="291" t="s">
        <v>44</v>
      </c>
      <c r="B1" s="292"/>
      <c r="C1" s="292"/>
      <c r="D1" s="292"/>
      <c r="E1" s="292"/>
      <c r="F1" s="292"/>
      <c r="G1" s="292"/>
      <c r="H1" s="293"/>
    </row>
    <row r="2" spans="1:13" ht="14.45" x14ac:dyDescent="0.3">
      <c r="A2" s="294"/>
      <c r="B2" s="294"/>
      <c r="C2" s="294"/>
      <c r="D2" s="294"/>
      <c r="E2" s="294"/>
      <c r="F2" s="294"/>
      <c r="G2" s="294"/>
      <c r="H2" s="294"/>
    </row>
    <row r="3" spans="1:13" x14ac:dyDescent="0.25">
      <c r="A3" s="295" t="s">
        <v>45</v>
      </c>
      <c r="B3" s="295"/>
      <c r="C3" s="295" t="s">
        <v>0</v>
      </c>
      <c r="D3" s="295" t="s">
        <v>46</v>
      </c>
      <c r="E3" s="196" t="s">
        <v>47</v>
      </c>
      <c r="F3" s="295" t="s">
        <v>48</v>
      </c>
      <c r="G3" s="295" t="s">
        <v>49</v>
      </c>
      <c r="H3" s="295" t="s">
        <v>50</v>
      </c>
      <c r="J3" s="248"/>
      <c r="K3" s="248"/>
      <c r="L3" s="248"/>
      <c r="M3" s="248"/>
    </row>
    <row r="4" spans="1:13" x14ac:dyDescent="0.25">
      <c r="A4" s="295"/>
      <c r="B4" s="295"/>
      <c r="C4" s="295"/>
      <c r="D4" s="295"/>
      <c r="E4" s="196" t="s">
        <v>51</v>
      </c>
      <c r="F4" s="295"/>
      <c r="G4" s="295"/>
      <c r="H4" s="295"/>
      <c r="J4" s="248"/>
      <c r="K4" s="248"/>
      <c r="L4" s="248"/>
      <c r="M4" s="248"/>
    </row>
    <row r="5" spans="1:13" x14ac:dyDescent="0.25">
      <c r="A5" s="96" t="s">
        <v>52</v>
      </c>
      <c r="B5" s="96" t="s">
        <v>53</v>
      </c>
      <c r="C5" s="245"/>
      <c r="D5" s="295"/>
      <c r="E5" s="196" t="s">
        <v>54</v>
      </c>
      <c r="F5" s="196" t="s">
        <v>55</v>
      </c>
      <c r="G5" s="196" t="s">
        <v>54</v>
      </c>
      <c r="H5" s="196" t="s">
        <v>54</v>
      </c>
      <c r="J5" s="244"/>
      <c r="K5" s="244"/>
      <c r="L5" s="244"/>
      <c r="M5" s="246"/>
    </row>
    <row r="6" spans="1:13" x14ac:dyDescent="0.25">
      <c r="A6" s="34" t="str">
        <f>"001"</f>
        <v>001</v>
      </c>
      <c r="B6" s="36" t="s">
        <v>56</v>
      </c>
      <c r="C6" s="34" t="s">
        <v>8</v>
      </c>
      <c r="D6" s="34" t="s">
        <v>57</v>
      </c>
      <c r="E6" s="98">
        <v>38200</v>
      </c>
      <c r="F6" s="37">
        <v>0.02</v>
      </c>
      <c r="G6" s="38">
        <f>+E6*F6</f>
        <v>764</v>
      </c>
      <c r="H6" s="91">
        <f>+E6+G6</f>
        <v>38964</v>
      </c>
      <c r="J6" s="244"/>
      <c r="K6" s="247"/>
      <c r="L6" s="244"/>
      <c r="M6" s="103"/>
    </row>
    <row r="7" spans="1:13" ht="14.45" x14ac:dyDescent="0.3">
      <c r="A7" s="34" t="str">
        <f>"002"</f>
        <v>002</v>
      </c>
      <c r="B7" s="36" t="s">
        <v>58</v>
      </c>
      <c r="C7" s="34" t="s">
        <v>8</v>
      </c>
      <c r="D7" s="34" t="s">
        <v>59</v>
      </c>
      <c r="E7" s="98">
        <v>3780</v>
      </c>
      <c r="F7" s="37">
        <v>0.02</v>
      </c>
      <c r="G7" s="38">
        <f t="shared" ref="G7:G32" si="0">+E7*F7</f>
        <v>75.600000000000009</v>
      </c>
      <c r="H7" s="91">
        <f t="shared" ref="H7:H32" si="1">+E7+G7</f>
        <v>3855.6</v>
      </c>
      <c r="J7" s="244"/>
      <c r="K7" s="247"/>
      <c r="L7" s="244"/>
      <c r="M7" s="103"/>
    </row>
    <row r="8" spans="1:13" ht="14.45" x14ac:dyDescent="0.3">
      <c r="A8" s="34" t="str">
        <f>"003"</f>
        <v>003</v>
      </c>
      <c r="B8" s="36" t="s">
        <v>60</v>
      </c>
      <c r="C8" s="34" t="s">
        <v>8</v>
      </c>
      <c r="D8" s="34" t="s">
        <v>254</v>
      </c>
      <c r="E8" s="98">
        <v>3320</v>
      </c>
      <c r="F8" s="37">
        <v>0.02</v>
      </c>
      <c r="G8" s="38">
        <f t="shared" si="0"/>
        <v>66.400000000000006</v>
      </c>
      <c r="H8" s="91">
        <f t="shared" si="1"/>
        <v>3386.4</v>
      </c>
      <c r="J8" s="244"/>
      <c r="K8" s="247"/>
      <c r="L8" s="244"/>
      <c r="M8" s="243"/>
    </row>
    <row r="9" spans="1:13" ht="14.45" x14ac:dyDescent="0.3">
      <c r="A9" s="34" t="str">
        <f>"004"</f>
        <v>004</v>
      </c>
      <c r="B9" s="36" t="s">
        <v>61</v>
      </c>
      <c r="C9" s="34" t="s">
        <v>0</v>
      </c>
      <c r="D9" s="34" t="s">
        <v>254</v>
      </c>
      <c r="E9" s="98">
        <f>18800*(1-0.21)</f>
        <v>14852</v>
      </c>
      <c r="F9" s="37">
        <v>0</v>
      </c>
      <c r="G9" s="38">
        <f t="shared" si="0"/>
        <v>0</v>
      </c>
      <c r="H9" s="91">
        <f t="shared" si="1"/>
        <v>14852</v>
      </c>
      <c r="J9" s="244"/>
      <c r="K9" s="247"/>
      <c r="L9" s="244"/>
      <c r="M9" s="243"/>
    </row>
    <row r="10" spans="1:13" ht="14.45" x14ac:dyDescent="0.3">
      <c r="A10" s="34" t="str">
        <f>"005"</f>
        <v>005</v>
      </c>
      <c r="B10" s="36" t="s">
        <v>96</v>
      </c>
      <c r="C10" s="34" t="s">
        <v>8</v>
      </c>
      <c r="D10" s="34" t="s">
        <v>254</v>
      </c>
      <c r="E10" s="98">
        <v>441698</v>
      </c>
      <c r="F10" s="37">
        <v>0</v>
      </c>
      <c r="G10" s="38">
        <f t="shared" si="0"/>
        <v>0</v>
      </c>
      <c r="H10" s="91">
        <f t="shared" si="1"/>
        <v>441698</v>
      </c>
      <c r="J10" s="244"/>
      <c r="K10" s="244"/>
      <c r="L10" s="244"/>
      <c r="M10" s="243"/>
    </row>
    <row r="11" spans="1:13" ht="14.45" x14ac:dyDescent="0.3">
      <c r="A11" s="34" t="str">
        <f>"006"</f>
        <v>006</v>
      </c>
      <c r="B11" s="36" t="s">
        <v>97</v>
      </c>
      <c r="C11" s="34" t="s">
        <v>8</v>
      </c>
      <c r="D11" s="34" t="s">
        <v>254</v>
      </c>
      <c r="E11" s="98">
        <f>E10</f>
        <v>441698</v>
      </c>
      <c r="F11" s="37">
        <v>0</v>
      </c>
      <c r="G11" s="38">
        <f t="shared" si="0"/>
        <v>0</v>
      </c>
      <c r="H11" s="91">
        <f t="shared" si="1"/>
        <v>441698</v>
      </c>
      <c r="J11" s="244"/>
      <c r="K11" s="244"/>
      <c r="L11" s="244"/>
      <c r="M11" s="243"/>
    </row>
    <row r="12" spans="1:13" ht="14.45" x14ac:dyDescent="0.3">
      <c r="A12" s="34" t="str">
        <f>"007"</f>
        <v>007</v>
      </c>
      <c r="B12" s="36" t="s">
        <v>94</v>
      </c>
      <c r="C12" s="34" t="s">
        <v>4</v>
      </c>
      <c r="D12" s="34" t="s">
        <v>254</v>
      </c>
      <c r="E12" s="98">
        <v>3900</v>
      </c>
      <c r="F12" s="37">
        <v>0.02</v>
      </c>
      <c r="G12" s="38">
        <f t="shared" si="0"/>
        <v>78</v>
      </c>
      <c r="H12" s="91">
        <f t="shared" si="1"/>
        <v>3978</v>
      </c>
      <c r="J12" s="244"/>
      <c r="K12" s="244"/>
      <c r="L12" s="244"/>
      <c r="M12" s="243"/>
    </row>
    <row r="13" spans="1:13" ht="14.45" x14ac:dyDescent="0.3">
      <c r="A13" s="34" t="str">
        <f>"008"</f>
        <v>008</v>
      </c>
      <c r="B13" s="36" t="s">
        <v>95</v>
      </c>
      <c r="C13" s="34" t="s">
        <v>104</v>
      </c>
      <c r="D13" s="34" t="s">
        <v>254</v>
      </c>
      <c r="E13" s="197">
        <v>1500</v>
      </c>
      <c r="F13" s="37">
        <v>0</v>
      </c>
      <c r="G13" s="38">
        <f t="shared" si="0"/>
        <v>0</v>
      </c>
      <c r="H13" s="91">
        <f t="shared" si="1"/>
        <v>1500</v>
      </c>
      <c r="J13" s="244"/>
      <c r="K13" s="244"/>
      <c r="L13" s="244"/>
      <c r="M13" s="243"/>
    </row>
    <row r="14" spans="1:13" ht="14.45" x14ac:dyDescent="0.3">
      <c r="A14" s="34" t="str">
        <f>"009"</f>
        <v>009</v>
      </c>
      <c r="B14" s="36" t="s">
        <v>98</v>
      </c>
      <c r="C14" s="34" t="s">
        <v>8</v>
      </c>
      <c r="D14" s="34" t="s">
        <v>254</v>
      </c>
      <c r="E14" s="98">
        <f>E11</f>
        <v>441698</v>
      </c>
      <c r="F14" s="37">
        <v>0</v>
      </c>
      <c r="G14" s="38">
        <f t="shared" si="0"/>
        <v>0</v>
      </c>
      <c r="H14" s="91">
        <f t="shared" si="1"/>
        <v>441698</v>
      </c>
      <c r="J14" s="244"/>
      <c r="K14" s="244"/>
      <c r="L14" s="244"/>
      <c r="M14" s="243"/>
    </row>
    <row r="15" spans="1:13" x14ac:dyDescent="0.25">
      <c r="A15" s="34" t="str">
        <f>"010"</f>
        <v>010</v>
      </c>
      <c r="B15" s="36" t="s">
        <v>100</v>
      </c>
      <c r="C15" s="34" t="s">
        <v>8</v>
      </c>
      <c r="D15" s="35" t="s">
        <v>57</v>
      </c>
      <c r="E15" s="98">
        <v>3910</v>
      </c>
      <c r="F15" s="37">
        <v>0.02</v>
      </c>
      <c r="G15" s="38">
        <f t="shared" si="0"/>
        <v>78.2</v>
      </c>
      <c r="H15" s="91">
        <f t="shared" si="1"/>
        <v>3988.2</v>
      </c>
      <c r="J15" s="244"/>
      <c r="K15" s="244"/>
      <c r="L15" s="244"/>
      <c r="M15" s="243"/>
    </row>
    <row r="16" spans="1:13" x14ac:dyDescent="0.25">
      <c r="A16" s="34" t="str">
        <f>"011"</f>
        <v>011</v>
      </c>
      <c r="B16" s="36" t="s">
        <v>101</v>
      </c>
      <c r="C16" s="34" t="s">
        <v>8</v>
      </c>
      <c r="D16" s="35" t="s">
        <v>57</v>
      </c>
      <c r="E16" s="98">
        <v>3990</v>
      </c>
      <c r="F16" s="37">
        <v>0.02</v>
      </c>
      <c r="G16" s="38">
        <f t="shared" si="0"/>
        <v>79.8</v>
      </c>
      <c r="H16" s="91">
        <f t="shared" si="1"/>
        <v>4069.8</v>
      </c>
      <c r="J16" s="244"/>
      <c r="K16" s="244"/>
      <c r="L16" s="244"/>
      <c r="M16" s="243"/>
    </row>
    <row r="17" spans="1:13" x14ac:dyDescent="0.25">
      <c r="A17" s="34" t="str">
        <f>"012"</f>
        <v>012</v>
      </c>
      <c r="B17" s="36" t="s">
        <v>143</v>
      </c>
      <c r="C17" s="34" t="s">
        <v>8</v>
      </c>
      <c r="D17" s="35" t="s">
        <v>57</v>
      </c>
      <c r="E17" s="98">
        <v>36400</v>
      </c>
      <c r="F17" s="37">
        <v>0.02</v>
      </c>
      <c r="G17" s="38">
        <f t="shared" si="0"/>
        <v>728</v>
      </c>
      <c r="H17" s="91">
        <f t="shared" si="1"/>
        <v>37128</v>
      </c>
      <c r="J17" s="244"/>
      <c r="K17" s="244"/>
      <c r="L17" s="244"/>
      <c r="M17" s="243"/>
    </row>
    <row r="18" spans="1:13" x14ac:dyDescent="0.25">
      <c r="A18" s="34" t="str">
        <f>"013"</f>
        <v>013</v>
      </c>
      <c r="B18" s="36" t="s">
        <v>102</v>
      </c>
      <c r="C18" s="34" t="s">
        <v>8</v>
      </c>
      <c r="D18" s="35" t="s">
        <v>254</v>
      </c>
      <c r="E18" s="98">
        <v>260000</v>
      </c>
      <c r="F18" s="37">
        <v>0.01</v>
      </c>
      <c r="G18" s="38">
        <f t="shared" si="0"/>
        <v>2600</v>
      </c>
      <c r="H18" s="91">
        <f t="shared" si="1"/>
        <v>262600</v>
      </c>
    </row>
    <row r="19" spans="1:13" x14ac:dyDescent="0.25">
      <c r="A19" s="34" t="str">
        <f>"014"</f>
        <v>014</v>
      </c>
      <c r="B19" s="36" t="s">
        <v>105</v>
      </c>
      <c r="C19" s="34" t="s">
        <v>8</v>
      </c>
      <c r="D19" s="35" t="s">
        <v>254</v>
      </c>
      <c r="E19" s="98"/>
      <c r="F19" s="37"/>
      <c r="G19" s="38">
        <f t="shared" si="0"/>
        <v>0</v>
      </c>
      <c r="H19" s="91">
        <f t="shared" si="1"/>
        <v>0</v>
      </c>
    </row>
    <row r="20" spans="1:13" x14ac:dyDescent="0.25">
      <c r="A20" s="96" t="str">
        <f>"015"</f>
        <v>015</v>
      </c>
      <c r="B20" s="97" t="s">
        <v>183</v>
      </c>
      <c r="C20" s="96" t="s">
        <v>4</v>
      </c>
      <c r="D20" s="196" t="s">
        <v>164</v>
      </c>
      <c r="E20" s="98">
        <v>708.47</v>
      </c>
      <c r="F20" s="99">
        <v>0.02</v>
      </c>
      <c r="G20" s="242">
        <f t="shared" si="0"/>
        <v>14.169400000000001</v>
      </c>
      <c r="H20" s="98">
        <f t="shared" si="1"/>
        <v>722.63940000000002</v>
      </c>
    </row>
    <row r="21" spans="1:13" ht="14.45" x14ac:dyDescent="0.3">
      <c r="A21" s="96" t="str">
        <f>"016"</f>
        <v>016</v>
      </c>
      <c r="B21" s="97" t="s">
        <v>111</v>
      </c>
      <c r="C21" s="96" t="s">
        <v>4</v>
      </c>
      <c r="D21" s="196" t="s">
        <v>164</v>
      </c>
      <c r="E21" s="98">
        <v>3823</v>
      </c>
      <c r="F21" s="99">
        <v>0.02</v>
      </c>
      <c r="G21" s="38">
        <f t="shared" si="0"/>
        <v>76.460000000000008</v>
      </c>
      <c r="H21" s="98">
        <f t="shared" si="1"/>
        <v>3899.46</v>
      </c>
    </row>
    <row r="22" spans="1:13" ht="14.45" x14ac:dyDescent="0.3">
      <c r="A22" s="34" t="str">
        <f>"017"</f>
        <v>017</v>
      </c>
      <c r="B22" s="36" t="s">
        <v>144</v>
      </c>
      <c r="C22" s="34" t="s">
        <v>8</v>
      </c>
      <c r="D22" s="35" t="s">
        <v>254</v>
      </c>
      <c r="E22" s="98">
        <v>412000</v>
      </c>
      <c r="F22" s="37">
        <v>0</v>
      </c>
      <c r="G22" s="38">
        <f t="shared" si="0"/>
        <v>0</v>
      </c>
      <c r="H22" s="91">
        <f t="shared" si="1"/>
        <v>412000</v>
      </c>
    </row>
    <row r="23" spans="1:13" ht="14.45" x14ac:dyDescent="0.3">
      <c r="A23" s="34" t="str">
        <f>"018"</f>
        <v>018</v>
      </c>
      <c r="B23" s="36" t="s">
        <v>144</v>
      </c>
      <c r="C23" s="34" t="s">
        <v>8</v>
      </c>
      <c r="D23" s="35" t="s">
        <v>254</v>
      </c>
      <c r="E23" s="98">
        <v>412000</v>
      </c>
      <c r="F23" s="37">
        <v>0</v>
      </c>
      <c r="G23" s="38">
        <f t="shared" si="0"/>
        <v>0</v>
      </c>
      <c r="H23" s="91">
        <f t="shared" ref="H23" si="2">+E23+G23</f>
        <v>412000</v>
      </c>
    </row>
    <row r="24" spans="1:13" ht="14.45" x14ac:dyDescent="0.3">
      <c r="A24" s="34" t="str">
        <f>"019"</f>
        <v>019</v>
      </c>
      <c r="B24" s="36" t="s">
        <v>145</v>
      </c>
      <c r="C24" s="34" t="s">
        <v>104</v>
      </c>
      <c r="D24" s="35" t="s">
        <v>254</v>
      </c>
      <c r="E24" s="98">
        <v>292.60000000000002</v>
      </c>
      <c r="F24" s="37">
        <v>0</v>
      </c>
      <c r="G24" s="38">
        <f t="shared" si="0"/>
        <v>0</v>
      </c>
      <c r="H24" s="91">
        <f t="shared" si="1"/>
        <v>292.60000000000002</v>
      </c>
    </row>
    <row r="25" spans="1:13" x14ac:dyDescent="0.25">
      <c r="A25" s="34" t="str">
        <f>"020"</f>
        <v>020</v>
      </c>
      <c r="B25" s="36" t="s">
        <v>191</v>
      </c>
      <c r="C25" s="34" t="s">
        <v>4</v>
      </c>
      <c r="D25" s="35" t="s">
        <v>254</v>
      </c>
      <c r="E25" s="98">
        <v>27303.599999999999</v>
      </c>
      <c r="F25" s="37">
        <v>0</v>
      </c>
      <c r="G25" s="38">
        <f t="shared" si="0"/>
        <v>0</v>
      </c>
      <c r="H25" s="91">
        <f t="shared" si="1"/>
        <v>27303.599999999999</v>
      </c>
    </row>
    <row r="26" spans="1:13" x14ac:dyDescent="0.25">
      <c r="A26" s="34" t="str">
        <f>"021"</f>
        <v>021</v>
      </c>
      <c r="B26" s="36" t="s">
        <v>92</v>
      </c>
      <c r="C26" s="34" t="s">
        <v>4</v>
      </c>
      <c r="D26" s="35" t="s">
        <v>254</v>
      </c>
      <c r="E26" s="198">
        <v>37820.54176</v>
      </c>
      <c r="F26" s="37">
        <v>0</v>
      </c>
      <c r="G26" s="38">
        <f t="shared" si="0"/>
        <v>0</v>
      </c>
      <c r="H26" s="91">
        <f t="shared" si="1"/>
        <v>37820.54176</v>
      </c>
      <c r="I26" s="103"/>
      <c r="J26" s="243"/>
      <c r="K26" s="244"/>
    </row>
    <row r="27" spans="1:13" x14ac:dyDescent="0.25">
      <c r="A27" s="34" t="str">
        <f>"022"</f>
        <v>022</v>
      </c>
      <c r="B27" s="36" t="s">
        <v>93</v>
      </c>
      <c r="C27" s="34" t="s">
        <v>4</v>
      </c>
      <c r="D27" s="35" t="s">
        <v>254</v>
      </c>
      <c r="E27" s="198">
        <v>45941.01296</v>
      </c>
      <c r="F27" s="37">
        <v>0</v>
      </c>
      <c r="G27" s="38">
        <f t="shared" si="0"/>
        <v>0</v>
      </c>
      <c r="H27" s="91">
        <f t="shared" si="1"/>
        <v>45941.01296</v>
      </c>
      <c r="I27" s="103"/>
      <c r="J27" s="243"/>
      <c r="K27" s="244"/>
    </row>
    <row r="28" spans="1:13" x14ac:dyDescent="0.25">
      <c r="A28" s="34" t="str">
        <f>"023"</f>
        <v>023</v>
      </c>
      <c r="B28" s="36" t="s">
        <v>197</v>
      </c>
      <c r="C28" s="34" t="s">
        <v>4</v>
      </c>
      <c r="D28" s="35" t="s">
        <v>254</v>
      </c>
      <c r="E28" s="198">
        <v>42416.354399999997</v>
      </c>
      <c r="F28" s="37">
        <v>0</v>
      </c>
      <c r="G28" s="38">
        <f t="shared" si="0"/>
        <v>0</v>
      </c>
      <c r="H28" s="91">
        <f t="shared" si="1"/>
        <v>42416.354399999997</v>
      </c>
      <c r="I28" s="103"/>
      <c r="J28" s="243"/>
      <c r="K28" s="244"/>
    </row>
    <row r="29" spans="1:13" x14ac:dyDescent="0.25">
      <c r="A29" s="34" t="str">
        <f>"024"</f>
        <v>024</v>
      </c>
      <c r="B29" s="36" t="s">
        <v>204</v>
      </c>
      <c r="C29" s="34" t="s">
        <v>4</v>
      </c>
      <c r="D29" s="35" t="s">
        <v>254</v>
      </c>
      <c r="E29" s="98">
        <v>4000</v>
      </c>
      <c r="F29" s="37">
        <v>0.02</v>
      </c>
      <c r="G29" s="38">
        <f t="shared" si="0"/>
        <v>80</v>
      </c>
      <c r="H29" s="91">
        <f t="shared" si="1"/>
        <v>4080</v>
      </c>
    </row>
    <row r="30" spans="1:13" x14ac:dyDescent="0.25">
      <c r="A30" s="34" t="str">
        <f>"025"</f>
        <v>025</v>
      </c>
      <c r="B30" s="36" t="s">
        <v>198</v>
      </c>
      <c r="C30" s="34" t="s">
        <v>7</v>
      </c>
      <c r="D30" s="35" t="s">
        <v>254</v>
      </c>
      <c r="E30" s="98">
        <v>227.24</v>
      </c>
      <c r="F30" s="37">
        <v>0</v>
      </c>
      <c r="G30" s="38">
        <f t="shared" si="0"/>
        <v>0</v>
      </c>
      <c r="H30" s="91">
        <f t="shared" ref="H30" si="3">+E30+G30</f>
        <v>227.24</v>
      </c>
    </row>
    <row r="31" spans="1:13" x14ac:dyDescent="0.25">
      <c r="A31" s="34" t="str">
        <f>"026"</f>
        <v>026</v>
      </c>
      <c r="B31" s="36" t="s">
        <v>199</v>
      </c>
      <c r="C31" s="34" t="s">
        <v>8</v>
      </c>
      <c r="D31" s="35" t="s">
        <v>254</v>
      </c>
      <c r="E31" s="98">
        <f>6850/0.96</f>
        <v>7135.416666666667</v>
      </c>
      <c r="F31" s="37">
        <v>0</v>
      </c>
      <c r="G31" s="38">
        <f t="shared" si="0"/>
        <v>0</v>
      </c>
      <c r="H31" s="91">
        <f t="shared" si="1"/>
        <v>7135.416666666667</v>
      </c>
    </row>
    <row r="32" spans="1:13" x14ac:dyDescent="0.25">
      <c r="A32" s="34" t="str">
        <f>"027"</f>
        <v>027</v>
      </c>
      <c r="B32" s="34"/>
      <c r="C32" s="34"/>
      <c r="D32" s="34"/>
      <c r="E32" s="96"/>
      <c r="F32" s="37">
        <v>0</v>
      </c>
      <c r="G32" s="38">
        <f t="shared" si="0"/>
        <v>0</v>
      </c>
      <c r="H32" s="34">
        <f t="shared" si="1"/>
        <v>0</v>
      </c>
    </row>
    <row r="34" spans="3:3" x14ac:dyDescent="0.25">
      <c r="C34" s="102"/>
    </row>
    <row r="35" spans="3:3" x14ac:dyDescent="0.25">
      <c r="C35" s="102"/>
    </row>
  </sheetData>
  <mergeCells count="8">
    <mergeCell ref="A1:H1"/>
    <mergeCell ref="A2:H2"/>
    <mergeCell ref="A3:B4"/>
    <mergeCell ref="C3:C4"/>
    <mergeCell ref="D3:D5"/>
    <mergeCell ref="F3:F4"/>
    <mergeCell ref="G3:G4"/>
    <mergeCell ref="H3:H4"/>
  </mergeCells>
  <phoneticPr fontId="6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1">
    <tabColor rgb="FF92D050"/>
  </sheetPr>
  <dimension ref="A1:M18"/>
  <sheetViews>
    <sheetView workbookViewId="0">
      <selection activeCell="G23" sqref="G23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  <col min="11" max="11" width="11.5703125" customWidth="1"/>
  </cols>
  <sheetData>
    <row r="1" spans="1:13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3" ht="16.5" thickBot="1" x14ac:dyDescent="0.3">
      <c r="B2" s="8" t="s">
        <v>28</v>
      </c>
      <c r="C2" s="304" t="s">
        <v>150</v>
      </c>
      <c r="D2" s="304"/>
      <c r="E2" s="304"/>
      <c r="F2" s="304"/>
      <c r="G2" s="305"/>
      <c r="H2" s="7"/>
    </row>
    <row r="3" spans="1:13" ht="15.75" thickBot="1" x14ac:dyDescent="0.3">
      <c r="B3" s="8" t="s">
        <v>112</v>
      </c>
      <c r="C3" s="9" t="s">
        <v>122</v>
      </c>
      <c r="D3" s="3"/>
      <c r="E3" s="306" t="s">
        <v>30</v>
      </c>
      <c r="F3" s="307"/>
      <c r="G3" s="76" t="s">
        <v>7</v>
      </c>
      <c r="H3" s="7"/>
    </row>
    <row r="4" spans="1:13" thickBot="1" x14ac:dyDescent="0.35">
      <c r="B4" s="8" t="s">
        <v>42</v>
      </c>
      <c r="C4" s="77">
        <v>0.1</v>
      </c>
      <c r="D4" s="3" t="s">
        <v>43</v>
      </c>
      <c r="E4" s="306"/>
      <c r="F4" s="307"/>
      <c r="G4" s="79"/>
      <c r="H4" s="11"/>
    </row>
    <row r="5" spans="1:13" thickBot="1" x14ac:dyDescent="0.35">
      <c r="B5" s="12"/>
      <c r="C5" s="12"/>
      <c r="D5" s="12"/>
      <c r="E5" s="12"/>
      <c r="F5" s="12"/>
      <c r="G5" s="13"/>
      <c r="H5" s="7"/>
    </row>
    <row r="6" spans="1:13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13" ht="15.75" thickBot="1" x14ac:dyDescent="0.3">
      <c r="A7" s="111" t="str">
        <f>"024"</f>
        <v>024</v>
      </c>
      <c r="B7" s="130" t="str">
        <f>VLOOKUP(A7,MAT!A:H,2,0)</f>
        <v>Ripio calcáreo 0-20 mm</v>
      </c>
      <c r="C7" s="131" t="str">
        <f>VLOOKUP(A7,MAT!A:H,3,0)</f>
        <v>m3</v>
      </c>
      <c r="D7" s="152">
        <f>1.15*C4</f>
        <v>0.11499999999999999</v>
      </c>
      <c r="E7" s="115">
        <f>VLOOKUP(A7,MAT!A:H,8,0)</f>
        <v>4080</v>
      </c>
      <c r="F7" s="116">
        <f>+D7*E7</f>
        <v>469.2</v>
      </c>
      <c r="G7" s="7"/>
      <c r="H7" s="7"/>
    </row>
    <row r="8" spans="1:13" thickBot="1" x14ac:dyDescent="0.35">
      <c r="B8" s="17"/>
      <c r="C8" s="17"/>
      <c r="D8" s="18"/>
      <c r="E8" s="298" t="s">
        <v>36</v>
      </c>
      <c r="F8" s="299"/>
      <c r="G8" s="19">
        <f>+SUM(F7:F7)</f>
        <v>469.2</v>
      </c>
      <c r="H8" s="7" t="s">
        <v>37</v>
      </c>
    </row>
    <row r="9" spans="1:13" thickBot="1" x14ac:dyDescent="0.35">
      <c r="B9" s="12"/>
      <c r="C9" s="12"/>
      <c r="D9" s="12"/>
      <c r="E9" s="20"/>
      <c r="F9" s="20"/>
      <c r="G9" s="17"/>
      <c r="H9" s="7"/>
      <c r="M9" s="100"/>
    </row>
    <row r="10" spans="1:13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13" ht="15.75" thickBot="1" x14ac:dyDescent="0.3">
      <c r="A11" s="111" t="str">
        <f>"024"</f>
        <v>024</v>
      </c>
      <c r="B11" s="130" t="str">
        <f>VLOOKUP(A11,TRANS!A:H,2,0)</f>
        <v>Ripio calcáreo 0-20 mm</v>
      </c>
      <c r="C11" s="131" t="str">
        <f>VLOOKUP(A11,TRANS!A:J,3,0)</f>
        <v>m3</v>
      </c>
      <c r="D11" s="152">
        <f>D7</f>
        <v>0.11499999999999999</v>
      </c>
      <c r="E11" s="132">
        <f>VLOOKUP(A11,TRANS!A:J,5,0)</f>
        <v>20</v>
      </c>
      <c r="F11" s="116">
        <f>D11*E11</f>
        <v>2.2999999999999998</v>
      </c>
      <c r="G11" s="7"/>
      <c r="H11" s="7"/>
    </row>
    <row r="12" spans="1:13" thickBot="1" x14ac:dyDescent="0.35">
      <c r="B12" s="17"/>
      <c r="C12" s="17"/>
      <c r="D12" s="24"/>
      <c r="E12" s="298" t="s">
        <v>64</v>
      </c>
      <c r="F12" s="308"/>
      <c r="G12" s="19">
        <f>+SUM(F11:F11)</f>
        <v>2.2999999999999998</v>
      </c>
      <c r="H12" s="7" t="s">
        <v>37</v>
      </c>
    </row>
    <row r="13" spans="1:13" thickBot="1" x14ac:dyDescent="0.35">
      <c r="B13" s="13"/>
      <c r="C13" s="13"/>
      <c r="D13" s="13"/>
      <c r="E13" s="17"/>
      <c r="F13" s="17"/>
      <c r="G13" s="17"/>
      <c r="H13" s="7"/>
    </row>
    <row r="14" spans="1:13" ht="29.45" thickBot="1" x14ac:dyDescent="0.35">
      <c r="A14" s="74" t="s">
        <v>63</v>
      </c>
      <c r="B14" s="30" t="s">
        <v>185</v>
      </c>
      <c r="C14" s="31"/>
      <c r="D14" s="31"/>
      <c r="E14" s="31"/>
      <c r="F14" s="16" t="s">
        <v>35</v>
      </c>
      <c r="G14" s="7"/>
      <c r="H14" s="7"/>
    </row>
    <row r="15" spans="1:13" thickBot="1" x14ac:dyDescent="0.35">
      <c r="A15" s="138"/>
      <c r="B15" s="145" t="s">
        <v>172</v>
      </c>
      <c r="C15" s="140"/>
      <c r="D15" s="140"/>
      <c r="E15" s="146"/>
      <c r="F15" s="147">
        <f>G8*0.4</f>
        <v>187.68</v>
      </c>
      <c r="G15" s="7"/>
      <c r="H15" s="7"/>
    </row>
    <row r="16" spans="1:13" thickBot="1" x14ac:dyDescent="0.35">
      <c r="B16" s="17"/>
      <c r="C16" s="17"/>
      <c r="D16" s="18"/>
      <c r="E16" s="298" t="s">
        <v>193</v>
      </c>
      <c r="F16" s="299"/>
      <c r="G16" s="19">
        <f>+SUM(F15:F15)</f>
        <v>187.68</v>
      </c>
      <c r="H16" s="7" t="s">
        <v>37</v>
      </c>
    </row>
    <row r="17" spans="2:8" thickBot="1" x14ac:dyDescent="0.35">
      <c r="B17" s="7"/>
      <c r="C17" s="7"/>
      <c r="D17" s="7"/>
      <c r="E17" s="7"/>
      <c r="F17" s="7"/>
      <c r="G17" s="7"/>
      <c r="H17" s="7"/>
    </row>
    <row r="18" spans="2:8" thickBot="1" x14ac:dyDescent="0.35">
      <c r="E18" s="300" t="s">
        <v>66</v>
      </c>
      <c r="F18" s="301"/>
      <c r="G18" s="78">
        <f>+G16+G12+G8</f>
        <v>659.18000000000006</v>
      </c>
      <c r="H18" s="7" t="s">
        <v>37</v>
      </c>
    </row>
  </sheetData>
  <mergeCells count="8">
    <mergeCell ref="E16:F16"/>
    <mergeCell ref="E18:F18"/>
    <mergeCell ref="B1:C1"/>
    <mergeCell ref="C2:G2"/>
    <mergeCell ref="E3:F3"/>
    <mergeCell ref="E4:F4"/>
    <mergeCell ref="E8:F8"/>
    <mergeCell ref="E12:F12"/>
  </mergeCells>
  <pageMargins left="0.7" right="0.7" top="0.75" bottom="0.75" header="0.3" footer="0.3"/>
  <pageSetup paperSize="9" orientation="portrait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2">
    <tabColor rgb="FF92D050"/>
  </sheetPr>
  <dimension ref="A1:M18"/>
  <sheetViews>
    <sheetView workbookViewId="0">
      <selection activeCell="G23" sqref="G23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  <col min="11" max="11" width="11.5703125" customWidth="1"/>
  </cols>
  <sheetData>
    <row r="1" spans="1:13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3" ht="16.5" thickBot="1" x14ac:dyDescent="0.3">
      <c r="B2" s="8" t="s">
        <v>28</v>
      </c>
      <c r="C2" s="304" t="s">
        <v>151</v>
      </c>
      <c r="D2" s="304"/>
      <c r="E2" s="304"/>
      <c r="F2" s="304"/>
      <c r="G2" s="305"/>
      <c r="H2" s="7"/>
    </row>
    <row r="3" spans="1:13" ht="15.75" thickBot="1" x14ac:dyDescent="0.3">
      <c r="B3" s="8" t="s">
        <v>112</v>
      </c>
      <c r="C3" s="9" t="s">
        <v>147</v>
      </c>
      <c r="D3" s="3"/>
      <c r="E3" s="306" t="s">
        <v>30</v>
      </c>
      <c r="F3" s="307"/>
      <c r="G3" s="76" t="s">
        <v>7</v>
      </c>
      <c r="H3" s="7"/>
    </row>
    <row r="4" spans="1:13" thickBot="1" x14ac:dyDescent="0.35">
      <c r="B4" s="8" t="s">
        <v>42</v>
      </c>
      <c r="C4" s="77">
        <v>0.15</v>
      </c>
      <c r="D4" s="3" t="s">
        <v>43</v>
      </c>
      <c r="E4" s="306"/>
      <c r="F4" s="307"/>
      <c r="G4" s="79"/>
      <c r="H4" s="11"/>
    </row>
    <row r="5" spans="1:13" thickBot="1" x14ac:dyDescent="0.35">
      <c r="B5" s="12"/>
      <c r="C5" s="12"/>
      <c r="D5" s="12"/>
      <c r="E5" s="12"/>
      <c r="F5" s="12"/>
      <c r="G5" s="13"/>
      <c r="H5" s="7"/>
    </row>
    <row r="6" spans="1:13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13" ht="15.75" thickBot="1" x14ac:dyDescent="0.3">
      <c r="A7" s="111" t="str">
        <f>"024"</f>
        <v>024</v>
      </c>
      <c r="B7" s="130" t="str">
        <f>VLOOKUP(A7,MAT!A:H,2,0)</f>
        <v>Ripio calcáreo 0-20 mm</v>
      </c>
      <c r="C7" s="131" t="str">
        <f>VLOOKUP(A7,MAT!A:H,3,0)</f>
        <v>m3</v>
      </c>
      <c r="D7" s="152">
        <f>1.15*C4</f>
        <v>0.17249999999999999</v>
      </c>
      <c r="E7" s="115">
        <f>VLOOKUP(A7,MAT!A:H,8,0)</f>
        <v>4080</v>
      </c>
      <c r="F7" s="116">
        <f>+D7*E7</f>
        <v>703.8</v>
      </c>
      <c r="G7" s="7"/>
      <c r="H7" s="7"/>
    </row>
    <row r="8" spans="1:13" thickBot="1" x14ac:dyDescent="0.35">
      <c r="B8" s="17"/>
      <c r="C8" s="17"/>
      <c r="D8" s="18"/>
      <c r="E8" s="298" t="s">
        <v>36</v>
      </c>
      <c r="F8" s="299"/>
      <c r="G8" s="19">
        <f>+SUM(F7:F7)</f>
        <v>703.8</v>
      </c>
      <c r="H8" s="7" t="s">
        <v>37</v>
      </c>
    </row>
    <row r="9" spans="1:13" thickBot="1" x14ac:dyDescent="0.35">
      <c r="B9" s="12"/>
      <c r="C9" s="12"/>
      <c r="D9" s="12"/>
      <c r="E9" s="20"/>
      <c r="F9" s="20"/>
      <c r="G9" s="17"/>
      <c r="H9" s="7"/>
      <c r="M9" s="100"/>
    </row>
    <row r="10" spans="1:13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13" ht="15.75" thickBot="1" x14ac:dyDescent="0.3">
      <c r="A11" s="111" t="str">
        <f>"024"</f>
        <v>024</v>
      </c>
      <c r="B11" s="130" t="str">
        <f>VLOOKUP(A11,TRANS!A:H,2,0)</f>
        <v>Ripio calcáreo 0-20 mm</v>
      </c>
      <c r="C11" s="131" t="str">
        <f>VLOOKUP(A11,TRANS!A:J,3,0)</f>
        <v>m3</v>
      </c>
      <c r="D11" s="152">
        <f>D7</f>
        <v>0.17249999999999999</v>
      </c>
      <c r="E11" s="132">
        <f>VLOOKUP(A11,TRANS!A:J,5,0)</f>
        <v>20</v>
      </c>
      <c r="F11" s="116">
        <f>D11*E11</f>
        <v>3.4499999999999997</v>
      </c>
      <c r="G11" s="7"/>
      <c r="H11" s="7"/>
    </row>
    <row r="12" spans="1:13" thickBot="1" x14ac:dyDescent="0.35">
      <c r="B12" s="17"/>
      <c r="C12" s="17"/>
      <c r="D12" s="24"/>
      <c r="E12" s="298" t="s">
        <v>64</v>
      </c>
      <c r="F12" s="308"/>
      <c r="G12" s="19">
        <f>+SUM(F11:F11)</f>
        <v>3.4499999999999997</v>
      </c>
      <c r="H12" s="7" t="s">
        <v>37</v>
      </c>
    </row>
    <row r="13" spans="1:13" thickBot="1" x14ac:dyDescent="0.35">
      <c r="B13" s="13"/>
      <c r="C13" s="13"/>
      <c r="D13" s="13"/>
      <c r="E13" s="17"/>
      <c r="F13" s="17"/>
      <c r="G13" s="17"/>
      <c r="H13" s="7"/>
    </row>
    <row r="14" spans="1:13" ht="29.45" thickBot="1" x14ac:dyDescent="0.35">
      <c r="A14" s="74" t="s">
        <v>63</v>
      </c>
      <c r="B14" s="30" t="s">
        <v>185</v>
      </c>
      <c r="C14" s="31"/>
      <c r="D14" s="31"/>
      <c r="E14" s="31"/>
      <c r="F14" s="16" t="s">
        <v>35</v>
      </c>
      <c r="G14" s="7"/>
      <c r="H14" s="7"/>
    </row>
    <row r="15" spans="1:13" thickBot="1" x14ac:dyDescent="0.35">
      <c r="A15" s="138"/>
      <c r="B15" s="145" t="s">
        <v>172</v>
      </c>
      <c r="C15" s="140"/>
      <c r="D15" s="140"/>
      <c r="E15" s="146"/>
      <c r="F15" s="147">
        <f>G8*0.4</f>
        <v>281.52</v>
      </c>
      <c r="G15" s="7"/>
      <c r="H15" s="7"/>
    </row>
    <row r="16" spans="1:13" thickBot="1" x14ac:dyDescent="0.35">
      <c r="B16" s="17"/>
      <c r="C16" s="17"/>
      <c r="D16" s="18"/>
      <c r="E16" s="298" t="s">
        <v>193</v>
      </c>
      <c r="F16" s="299"/>
      <c r="G16" s="19">
        <f>+SUM(F15:F15)</f>
        <v>281.52</v>
      </c>
      <c r="H16" s="7" t="s">
        <v>37</v>
      </c>
    </row>
    <row r="17" spans="2:8" thickBot="1" x14ac:dyDescent="0.35">
      <c r="B17" s="7"/>
      <c r="C17" s="7"/>
      <c r="D17" s="7"/>
      <c r="E17" s="7"/>
      <c r="F17" s="7"/>
      <c r="G17" s="7"/>
      <c r="H17" s="7"/>
    </row>
    <row r="18" spans="2:8" thickBot="1" x14ac:dyDescent="0.35">
      <c r="E18" s="300" t="s">
        <v>66</v>
      </c>
      <c r="F18" s="301"/>
      <c r="G18" s="78">
        <f>+G16+G12+G8</f>
        <v>988.77</v>
      </c>
      <c r="H18" s="7" t="s">
        <v>37</v>
      </c>
    </row>
  </sheetData>
  <mergeCells count="8">
    <mergeCell ref="E16:F16"/>
    <mergeCell ref="E18:F18"/>
    <mergeCell ref="B1:C1"/>
    <mergeCell ref="C2:G2"/>
    <mergeCell ref="E3:F3"/>
    <mergeCell ref="E4:F4"/>
    <mergeCell ref="E8:F8"/>
    <mergeCell ref="E12:F12"/>
  </mergeCells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3">
    <tabColor rgb="FF92D050"/>
  </sheetPr>
  <dimension ref="A1:M18"/>
  <sheetViews>
    <sheetView workbookViewId="0">
      <selection activeCell="G23" sqref="G23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  <col min="11" max="11" width="11.5703125" customWidth="1"/>
  </cols>
  <sheetData>
    <row r="1" spans="1:13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3" ht="16.5" thickBot="1" x14ac:dyDescent="0.3">
      <c r="B2" s="8" t="s">
        <v>28</v>
      </c>
      <c r="C2" s="304" t="s">
        <v>152</v>
      </c>
      <c r="D2" s="304"/>
      <c r="E2" s="304"/>
      <c r="F2" s="304"/>
      <c r="G2" s="305"/>
      <c r="H2" s="7"/>
    </row>
    <row r="3" spans="1:13" ht="15.75" thickBot="1" x14ac:dyDescent="0.3">
      <c r="B3" s="8" t="s">
        <v>112</v>
      </c>
      <c r="C3" s="9" t="s">
        <v>148</v>
      </c>
      <c r="D3" s="3"/>
      <c r="E3" s="306" t="s">
        <v>30</v>
      </c>
      <c r="F3" s="307"/>
      <c r="G3" s="76" t="s">
        <v>7</v>
      </c>
      <c r="H3" s="7"/>
    </row>
    <row r="4" spans="1:13" thickBot="1" x14ac:dyDescent="0.35">
      <c r="B4" s="8" t="s">
        <v>42</v>
      </c>
      <c r="C4" s="77">
        <v>0.2</v>
      </c>
      <c r="D4" s="3" t="s">
        <v>43</v>
      </c>
      <c r="E4" s="306"/>
      <c r="F4" s="307"/>
      <c r="G4" s="79"/>
      <c r="H4" s="11"/>
    </row>
    <row r="5" spans="1:13" thickBot="1" x14ac:dyDescent="0.35">
      <c r="B5" s="12"/>
      <c r="C5" s="12"/>
      <c r="D5" s="12"/>
      <c r="E5" s="12"/>
      <c r="F5" s="12"/>
      <c r="G5" s="13"/>
      <c r="H5" s="7"/>
    </row>
    <row r="6" spans="1:13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13" ht="15.75" thickBot="1" x14ac:dyDescent="0.3">
      <c r="A7" s="111" t="str">
        <f>"024"</f>
        <v>024</v>
      </c>
      <c r="B7" s="130" t="str">
        <f>VLOOKUP(A7,MAT!A:H,2,0)</f>
        <v>Ripio calcáreo 0-20 mm</v>
      </c>
      <c r="C7" s="131" t="str">
        <f>VLOOKUP(A7,MAT!A:H,3,0)</f>
        <v>m3</v>
      </c>
      <c r="D7" s="152">
        <f>1.15*C4</f>
        <v>0.22999999999999998</v>
      </c>
      <c r="E7" s="115">
        <f>VLOOKUP(A7,MAT!A:H,8,0)</f>
        <v>4080</v>
      </c>
      <c r="F7" s="116">
        <f>+D7*E7</f>
        <v>938.4</v>
      </c>
      <c r="G7" s="7"/>
      <c r="H7" s="7"/>
    </row>
    <row r="8" spans="1:13" thickBot="1" x14ac:dyDescent="0.35">
      <c r="B8" s="17"/>
      <c r="C8" s="17"/>
      <c r="D8" s="18"/>
      <c r="E8" s="298" t="s">
        <v>36</v>
      </c>
      <c r="F8" s="299"/>
      <c r="G8" s="19">
        <f>+SUM(F7:F7)</f>
        <v>938.4</v>
      </c>
      <c r="H8" s="7" t="s">
        <v>37</v>
      </c>
    </row>
    <row r="9" spans="1:13" thickBot="1" x14ac:dyDescent="0.35">
      <c r="B9" s="12"/>
      <c r="C9" s="12"/>
      <c r="D9" s="12"/>
      <c r="E9" s="20"/>
      <c r="F9" s="20"/>
      <c r="G9" s="17"/>
      <c r="H9" s="7"/>
      <c r="M9" s="100"/>
    </row>
    <row r="10" spans="1:13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13" ht="15.75" thickBot="1" x14ac:dyDescent="0.3">
      <c r="A11" s="111" t="str">
        <f>"024"</f>
        <v>024</v>
      </c>
      <c r="B11" s="130" t="str">
        <f>VLOOKUP(A11,TRANS!A:H,2,0)</f>
        <v>Ripio calcáreo 0-20 mm</v>
      </c>
      <c r="C11" s="131" t="str">
        <f>VLOOKUP(A11,TRANS!A:J,3,0)</f>
        <v>m3</v>
      </c>
      <c r="D11" s="152">
        <f>D7</f>
        <v>0.22999999999999998</v>
      </c>
      <c r="E11" s="132">
        <f>VLOOKUP(A11,TRANS!A:J,5,0)</f>
        <v>20</v>
      </c>
      <c r="F11" s="116">
        <f>D11*E11</f>
        <v>4.5999999999999996</v>
      </c>
      <c r="G11" s="7"/>
      <c r="H11" s="7"/>
    </row>
    <row r="12" spans="1:13" thickBot="1" x14ac:dyDescent="0.35">
      <c r="B12" s="17"/>
      <c r="C12" s="17"/>
      <c r="D12" s="24"/>
      <c r="E12" s="298" t="s">
        <v>64</v>
      </c>
      <c r="F12" s="308"/>
      <c r="G12" s="19">
        <f>+SUM(F11:F11)</f>
        <v>4.5999999999999996</v>
      </c>
      <c r="H12" s="7" t="s">
        <v>37</v>
      </c>
    </row>
    <row r="13" spans="1:13" thickBot="1" x14ac:dyDescent="0.35">
      <c r="B13" s="13"/>
      <c r="C13" s="13"/>
      <c r="D13" s="13"/>
      <c r="E13" s="17"/>
      <c r="F13" s="17"/>
      <c r="G13" s="17"/>
      <c r="H13" s="7"/>
    </row>
    <row r="14" spans="1:13" ht="29.45" thickBot="1" x14ac:dyDescent="0.35">
      <c r="A14" s="74" t="s">
        <v>63</v>
      </c>
      <c r="B14" s="30" t="s">
        <v>185</v>
      </c>
      <c r="C14" s="31"/>
      <c r="D14" s="31"/>
      <c r="E14" s="31"/>
      <c r="F14" s="16" t="s">
        <v>35</v>
      </c>
      <c r="G14" s="7"/>
      <c r="H14" s="7"/>
    </row>
    <row r="15" spans="1:13" thickBot="1" x14ac:dyDescent="0.35">
      <c r="A15" s="138"/>
      <c r="B15" s="145" t="s">
        <v>172</v>
      </c>
      <c r="C15" s="140"/>
      <c r="D15" s="140"/>
      <c r="E15" s="146"/>
      <c r="F15" s="147">
        <f>G8*0.4</f>
        <v>375.36</v>
      </c>
      <c r="G15" s="7"/>
      <c r="H15" s="7"/>
    </row>
    <row r="16" spans="1:13" thickBot="1" x14ac:dyDescent="0.35">
      <c r="B16" s="17"/>
      <c r="C16" s="17"/>
      <c r="D16" s="18"/>
      <c r="E16" s="298" t="s">
        <v>193</v>
      </c>
      <c r="F16" s="299"/>
      <c r="G16" s="19">
        <f>+SUM(F15:F15)</f>
        <v>375.36</v>
      </c>
      <c r="H16" s="7" t="s">
        <v>37</v>
      </c>
    </row>
    <row r="17" spans="2:8" thickBot="1" x14ac:dyDescent="0.35">
      <c r="B17" s="7"/>
      <c r="C17" s="7"/>
      <c r="D17" s="7"/>
      <c r="E17" s="7"/>
      <c r="F17" s="7"/>
      <c r="G17" s="7"/>
      <c r="H17" s="7"/>
    </row>
    <row r="18" spans="2:8" thickBot="1" x14ac:dyDescent="0.35">
      <c r="E18" s="300" t="s">
        <v>66</v>
      </c>
      <c r="F18" s="301"/>
      <c r="G18" s="78">
        <f>+G16+G12+G8</f>
        <v>1318.3600000000001</v>
      </c>
      <c r="H18" s="7" t="s">
        <v>37</v>
      </c>
    </row>
  </sheetData>
  <mergeCells count="8">
    <mergeCell ref="E16:F16"/>
    <mergeCell ref="E18:F18"/>
    <mergeCell ref="B1:C1"/>
    <mergeCell ref="C2:G2"/>
    <mergeCell ref="E3:F3"/>
    <mergeCell ref="E4:F4"/>
    <mergeCell ref="E8:F8"/>
    <mergeCell ref="E12:F12"/>
  </mergeCells>
  <pageMargins left="0.7" right="0.7" top="0.75" bottom="0.75" header="0.3" footer="0.3"/>
  <pageSetup paperSize="9" orientation="portrait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4">
    <tabColor rgb="FF92D050"/>
  </sheetPr>
  <dimension ref="A1:M18"/>
  <sheetViews>
    <sheetView workbookViewId="0">
      <selection activeCell="G23" sqref="G23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  <col min="11" max="11" width="11.5703125" customWidth="1"/>
  </cols>
  <sheetData>
    <row r="1" spans="1:13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3" ht="16.5" thickBot="1" x14ac:dyDescent="0.3">
      <c r="B2" s="8" t="s">
        <v>28</v>
      </c>
      <c r="C2" s="304" t="s">
        <v>174</v>
      </c>
      <c r="D2" s="304"/>
      <c r="E2" s="304"/>
      <c r="F2" s="304"/>
      <c r="G2" s="305"/>
      <c r="H2" s="7"/>
    </row>
    <row r="3" spans="1:13" ht="15.75" thickBot="1" x14ac:dyDescent="0.3">
      <c r="B3" s="8" t="s">
        <v>112</v>
      </c>
      <c r="C3" s="9" t="s">
        <v>149</v>
      </c>
      <c r="D3" s="3"/>
      <c r="E3" s="306" t="s">
        <v>30</v>
      </c>
      <c r="F3" s="307"/>
      <c r="G3" s="76" t="s">
        <v>7</v>
      </c>
      <c r="H3" s="7"/>
    </row>
    <row r="4" spans="1:13" thickBot="1" x14ac:dyDescent="0.35">
      <c r="B4" s="8" t="s">
        <v>42</v>
      </c>
      <c r="C4" s="77">
        <v>0.1</v>
      </c>
      <c r="D4" s="3" t="s">
        <v>43</v>
      </c>
      <c r="E4" s="306"/>
      <c r="F4" s="307"/>
      <c r="G4" s="79"/>
      <c r="H4" s="11"/>
    </row>
    <row r="5" spans="1:13" thickBot="1" x14ac:dyDescent="0.35">
      <c r="B5" s="12"/>
      <c r="C5" s="12"/>
      <c r="D5" s="12"/>
      <c r="E5" s="12"/>
      <c r="F5" s="12"/>
      <c r="G5" s="13"/>
      <c r="H5" s="7"/>
    </row>
    <row r="6" spans="1:13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  <c r="J6">
        <v>1.6</v>
      </c>
      <c r="K6" t="s">
        <v>8</v>
      </c>
      <c r="L6">
        <v>1</v>
      </c>
    </row>
    <row r="7" spans="1:13" thickBot="1" x14ac:dyDescent="0.35">
      <c r="A7" s="111" t="str">
        <f>"002"</f>
        <v>002</v>
      </c>
      <c r="B7" s="130" t="str">
        <f>VLOOKUP(A7,MAT!A:H,2,0)</f>
        <v>Piedra Triturada 10/30</v>
      </c>
      <c r="C7" s="131" t="str">
        <f>VLOOKUP(A7,MAT!A:H,3,0)</f>
        <v>tn</v>
      </c>
      <c r="D7" s="152">
        <f>1*C4*1.6</f>
        <v>0.16000000000000003</v>
      </c>
      <c r="E7" s="115">
        <f>VLOOKUP(A7,MAT!A:H,8,0)</f>
        <v>3855.6</v>
      </c>
      <c r="F7" s="116">
        <f>+D7*E7</f>
        <v>616.89600000000007</v>
      </c>
      <c r="G7" s="7"/>
      <c r="H7" s="7"/>
      <c r="J7">
        <f>L7*J6</f>
        <v>0.18400000000000002</v>
      </c>
      <c r="L7">
        <v>0.115</v>
      </c>
    </row>
    <row r="8" spans="1:13" thickBot="1" x14ac:dyDescent="0.35">
      <c r="B8" s="17"/>
      <c r="C8" s="17"/>
      <c r="D8" s="18"/>
      <c r="E8" s="298" t="s">
        <v>36</v>
      </c>
      <c r="F8" s="299"/>
      <c r="G8" s="19">
        <f>+SUM(F7:F7)</f>
        <v>616.89600000000007</v>
      </c>
      <c r="H8" s="7" t="s">
        <v>37</v>
      </c>
    </row>
    <row r="9" spans="1:13" thickBot="1" x14ac:dyDescent="0.35">
      <c r="B9" s="12"/>
      <c r="C9" s="12"/>
      <c r="D9" s="12"/>
      <c r="E9" s="20"/>
      <c r="F9" s="20"/>
      <c r="G9" s="17"/>
      <c r="H9" s="7"/>
      <c r="M9" s="100"/>
    </row>
    <row r="10" spans="1:13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13" thickBot="1" x14ac:dyDescent="0.35">
      <c r="A11" s="111" t="str">
        <f>"002"</f>
        <v>002</v>
      </c>
      <c r="B11" s="130" t="str">
        <f>VLOOKUP(A11,TRANS!A:H,2,0)</f>
        <v>Piedra Triturada 10/30</v>
      </c>
      <c r="C11" s="131" t="str">
        <f>VLOOKUP(A11,TRANS!A:J,3,0)</f>
        <v>tn</v>
      </c>
      <c r="D11" s="152">
        <f>D7</f>
        <v>0.16000000000000003</v>
      </c>
      <c r="E11" s="132">
        <f>VLOOKUP(A11,TRANS!A:J,5,0)</f>
        <v>350</v>
      </c>
      <c r="F11" s="116">
        <f>D11*E11</f>
        <v>56.000000000000014</v>
      </c>
      <c r="G11" s="7"/>
      <c r="H11" s="7"/>
    </row>
    <row r="12" spans="1:13" thickBot="1" x14ac:dyDescent="0.35">
      <c r="B12" s="17"/>
      <c r="C12" s="17"/>
      <c r="D12" s="24"/>
      <c r="E12" s="298" t="s">
        <v>64</v>
      </c>
      <c r="F12" s="308"/>
      <c r="G12" s="19">
        <f>+SUM(F11:F11)</f>
        <v>56.000000000000014</v>
      </c>
      <c r="H12" s="7" t="s">
        <v>37</v>
      </c>
    </row>
    <row r="13" spans="1:13" thickBot="1" x14ac:dyDescent="0.35">
      <c r="B13" s="13"/>
      <c r="C13" s="13"/>
      <c r="D13" s="13"/>
      <c r="E13" s="17"/>
      <c r="F13" s="17"/>
      <c r="G13" s="17"/>
      <c r="H13" s="7"/>
    </row>
    <row r="14" spans="1:13" ht="29.45" thickBot="1" x14ac:dyDescent="0.35">
      <c r="A14" s="74" t="s">
        <v>63</v>
      </c>
      <c r="B14" s="30" t="s">
        <v>185</v>
      </c>
      <c r="C14" s="31"/>
      <c r="D14" s="31"/>
      <c r="E14" s="31"/>
      <c r="F14" s="16" t="s">
        <v>35</v>
      </c>
      <c r="G14" s="7"/>
      <c r="H14" s="7"/>
    </row>
    <row r="15" spans="1:13" thickBot="1" x14ac:dyDescent="0.35">
      <c r="A15" s="138"/>
      <c r="B15" s="145" t="s">
        <v>172</v>
      </c>
      <c r="C15" s="140"/>
      <c r="D15" s="140"/>
      <c r="E15" s="146"/>
      <c r="F15" s="147">
        <f>G8*0.4</f>
        <v>246.75840000000005</v>
      </c>
      <c r="G15" s="7"/>
      <c r="H15" s="7"/>
    </row>
    <row r="16" spans="1:13" thickBot="1" x14ac:dyDescent="0.35">
      <c r="B16" s="17"/>
      <c r="C16" s="17"/>
      <c r="D16" s="18"/>
      <c r="E16" s="298" t="s">
        <v>193</v>
      </c>
      <c r="F16" s="299"/>
      <c r="G16" s="19">
        <f>+SUM(F15:F15)</f>
        <v>246.75840000000005</v>
      </c>
      <c r="H16" s="7" t="s">
        <v>37</v>
      </c>
    </row>
    <row r="17" spans="2:8" thickBot="1" x14ac:dyDescent="0.35">
      <c r="B17" s="7"/>
      <c r="C17" s="7"/>
      <c r="D17" s="7"/>
      <c r="E17" s="7"/>
      <c r="F17" s="7"/>
      <c r="G17" s="7"/>
      <c r="H17" s="7"/>
    </row>
    <row r="18" spans="2:8" thickBot="1" x14ac:dyDescent="0.35">
      <c r="E18" s="300" t="s">
        <v>66</v>
      </c>
      <c r="F18" s="301"/>
      <c r="G18" s="78">
        <f>+G16+G12+G8</f>
        <v>919.65440000000012</v>
      </c>
      <c r="H18" s="7" t="s">
        <v>37</v>
      </c>
    </row>
  </sheetData>
  <mergeCells count="8">
    <mergeCell ref="E16:F16"/>
    <mergeCell ref="E18:F18"/>
    <mergeCell ref="B1:C1"/>
    <mergeCell ref="C2:G2"/>
    <mergeCell ref="E3:F3"/>
    <mergeCell ref="E4:F4"/>
    <mergeCell ref="E8:F8"/>
    <mergeCell ref="E12:F12"/>
  </mergeCells>
  <pageMargins left="0.7" right="0.7" top="0.75" bottom="0.75" header="0.3" footer="0.3"/>
  <pageSetup paperSize="9" orientation="portrait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5">
    <tabColor rgb="FF92D050"/>
  </sheetPr>
  <dimension ref="A1:M18"/>
  <sheetViews>
    <sheetView workbookViewId="0">
      <selection activeCell="G23" sqref="G23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  <col min="11" max="11" width="11.5703125" customWidth="1"/>
  </cols>
  <sheetData>
    <row r="1" spans="1:13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3" ht="16.5" thickBot="1" x14ac:dyDescent="0.3">
      <c r="B2" s="8" t="s">
        <v>28</v>
      </c>
      <c r="C2" s="304" t="s">
        <v>205</v>
      </c>
      <c r="D2" s="304"/>
      <c r="E2" s="304"/>
      <c r="F2" s="304"/>
      <c r="G2" s="305"/>
      <c r="H2" s="7"/>
    </row>
    <row r="3" spans="1:13" ht="15.75" thickBot="1" x14ac:dyDescent="0.3">
      <c r="B3" s="8" t="s">
        <v>112</v>
      </c>
      <c r="C3" s="9" t="s">
        <v>153</v>
      </c>
      <c r="D3" s="3"/>
      <c r="E3" s="306" t="s">
        <v>30</v>
      </c>
      <c r="F3" s="307"/>
      <c r="G3" s="76" t="s">
        <v>7</v>
      </c>
      <c r="H3" s="7"/>
    </row>
    <row r="4" spans="1:13" thickBot="1" x14ac:dyDescent="0.35">
      <c r="B4" s="8" t="s">
        <v>42</v>
      </c>
      <c r="C4" s="77">
        <v>0.2</v>
      </c>
      <c r="D4" s="3" t="s">
        <v>43</v>
      </c>
      <c r="E4" s="306"/>
      <c r="F4" s="307"/>
      <c r="G4" s="79"/>
      <c r="H4" s="11"/>
    </row>
    <row r="5" spans="1:13" thickBot="1" x14ac:dyDescent="0.35">
      <c r="B5" s="12"/>
      <c r="C5" s="12"/>
      <c r="D5" s="12"/>
      <c r="E5" s="12"/>
      <c r="F5" s="12"/>
      <c r="G5" s="13"/>
      <c r="H5" s="7"/>
    </row>
    <row r="6" spans="1:13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  <c r="J6">
        <v>1.6</v>
      </c>
      <c r="K6" t="s">
        <v>8</v>
      </c>
      <c r="L6">
        <v>1</v>
      </c>
    </row>
    <row r="7" spans="1:13" thickBot="1" x14ac:dyDescent="0.35">
      <c r="A7" s="111" t="str">
        <f>"002"</f>
        <v>002</v>
      </c>
      <c r="B7" s="130" t="str">
        <f>VLOOKUP(A7,MAT!A:H,2,0)</f>
        <v>Piedra Triturada 10/30</v>
      </c>
      <c r="C7" s="131" t="str">
        <f>VLOOKUP(A7,MAT!A:H,3,0)</f>
        <v>tn</v>
      </c>
      <c r="D7" s="152">
        <f>1*C4*1.6</f>
        <v>0.32000000000000006</v>
      </c>
      <c r="E7" s="115">
        <f>VLOOKUP(A7,MAT!A:H,8,0)</f>
        <v>3855.6</v>
      </c>
      <c r="F7" s="116">
        <f>+D7*E7</f>
        <v>1233.7920000000001</v>
      </c>
      <c r="G7" s="7"/>
      <c r="H7" s="7"/>
      <c r="J7">
        <f>L7*J6</f>
        <v>0.18400000000000002</v>
      </c>
      <c r="L7">
        <v>0.115</v>
      </c>
    </row>
    <row r="8" spans="1:13" thickBot="1" x14ac:dyDescent="0.35">
      <c r="B8" s="17"/>
      <c r="C8" s="17"/>
      <c r="D8" s="18"/>
      <c r="E8" s="298" t="s">
        <v>36</v>
      </c>
      <c r="F8" s="299"/>
      <c r="G8" s="19">
        <f>+SUM(F7:F7)</f>
        <v>1233.7920000000001</v>
      </c>
      <c r="H8" s="7" t="s">
        <v>37</v>
      </c>
    </row>
    <row r="9" spans="1:13" thickBot="1" x14ac:dyDescent="0.35">
      <c r="B9" s="12"/>
      <c r="C9" s="12"/>
      <c r="D9" s="12"/>
      <c r="E9" s="20"/>
      <c r="F9" s="20"/>
      <c r="G9" s="17"/>
      <c r="H9" s="7"/>
      <c r="M9" s="100"/>
    </row>
    <row r="10" spans="1:13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13" thickBot="1" x14ac:dyDescent="0.35">
      <c r="A11" s="111" t="str">
        <f>"002"</f>
        <v>002</v>
      </c>
      <c r="B11" s="130" t="str">
        <f>VLOOKUP(A11,TRANS!A:H,2,0)</f>
        <v>Piedra Triturada 10/30</v>
      </c>
      <c r="C11" s="131" t="str">
        <f>VLOOKUP(A11,TRANS!A:J,3,0)</f>
        <v>tn</v>
      </c>
      <c r="D11" s="152">
        <f>D7</f>
        <v>0.32000000000000006</v>
      </c>
      <c r="E11" s="132">
        <f>VLOOKUP(A11,TRANS!A:J,5,0)</f>
        <v>350</v>
      </c>
      <c r="F11" s="116">
        <f>D11*E11</f>
        <v>112.00000000000003</v>
      </c>
      <c r="G11" s="7"/>
      <c r="H11" s="7"/>
    </row>
    <row r="12" spans="1:13" thickBot="1" x14ac:dyDescent="0.35">
      <c r="B12" s="17"/>
      <c r="C12" s="17"/>
      <c r="D12" s="24"/>
      <c r="E12" s="298" t="s">
        <v>64</v>
      </c>
      <c r="F12" s="308"/>
      <c r="G12" s="19">
        <f>+SUM(F11:F11)</f>
        <v>112.00000000000003</v>
      </c>
      <c r="H12" s="7" t="s">
        <v>37</v>
      </c>
    </row>
    <row r="13" spans="1:13" thickBot="1" x14ac:dyDescent="0.35">
      <c r="B13" s="13"/>
      <c r="C13" s="13"/>
      <c r="D13" s="13"/>
      <c r="E13" s="17"/>
      <c r="F13" s="17"/>
      <c r="G13" s="17"/>
      <c r="H13" s="7"/>
    </row>
    <row r="14" spans="1:13" ht="29.45" thickBot="1" x14ac:dyDescent="0.35">
      <c r="A14" s="74" t="s">
        <v>63</v>
      </c>
      <c r="B14" s="30" t="s">
        <v>185</v>
      </c>
      <c r="C14" s="31"/>
      <c r="D14" s="31"/>
      <c r="E14" s="31"/>
      <c r="F14" s="16" t="s">
        <v>35</v>
      </c>
      <c r="G14" s="7"/>
      <c r="H14" s="7"/>
    </row>
    <row r="15" spans="1:13" thickBot="1" x14ac:dyDescent="0.35">
      <c r="A15" s="138"/>
      <c r="B15" s="145" t="s">
        <v>172</v>
      </c>
      <c r="C15" s="140"/>
      <c r="D15" s="140"/>
      <c r="E15" s="146"/>
      <c r="F15" s="147">
        <f>G8*0.4</f>
        <v>493.5168000000001</v>
      </c>
      <c r="G15" s="7"/>
      <c r="H15" s="7"/>
    </row>
    <row r="16" spans="1:13" thickBot="1" x14ac:dyDescent="0.35">
      <c r="B16" s="17"/>
      <c r="C16" s="17"/>
      <c r="D16" s="18"/>
      <c r="E16" s="298" t="s">
        <v>193</v>
      </c>
      <c r="F16" s="299"/>
      <c r="G16" s="19">
        <f>+SUM(F15:F15)</f>
        <v>493.5168000000001</v>
      </c>
      <c r="H16" s="7" t="s">
        <v>37</v>
      </c>
    </row>
    <row r="17" spans="2:8" thickBot="1" x14ac:dyDescent="0.35">
      <c r="B17" s="7"/>
      <c r="C17" s="7"/>
      <c r="D17" s="7"/>
      <c r="E17" s="7"/>
      <c r="F17" s="7"/>
      <c r="G17" s="7"/>
      <c r="H17" s="7"/>
    </row>
    <row r="18" spans="2:8" thickBot="1" x14ac:dyDescent="0.35">
      <c r="E18" s="300" t="s">
        <v>66</v>
      </c>
      <c r="F18" s="301"/>
      <c r="G18" s="78">
        <f>+G16+G12+G8</f>
        <v>1839.3088000000002</v>
      </c>
      <c r="H18" s="7" t="s">
        <v>37</v>
      </c>
    </row>
  </sheetData>
  <mergeCells count="8">
    <mergeCell ref="E16:F16"/>
    <mergeCell ref="E18:F18"/>
    <mergeCell ref="B1:C1"/>
    <mergeCell ref="C2:G2"/>
    <mergeCell ref="E3:F3"/>
    <mergeCell ref="E4:F4"/>
    <mergeCell ref="E8:F8"/>
    <mergeCell ref="E12:F12"/>
  </mergeCells>
  <pageMargins left="0.7" right="0.7" top="0.75" bottom="0.75" header="0.3" footer="0.3"/>
  <pageSetup paperSize="9" orientation="portrait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6">
    <tabColor rgb="FF92D050"/>
  </sheetPr>
  <dimension ref="A1:M18"/>
  <sheetViews>
    <sheetView workbookViewId="0">
      <selection activeCell="G23" sqref="G23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  <col min="11" max="11" width="11.5703125" customWidth="1"/>
  </cols>
  <sheetData>
    <row r="1" spans="1:13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3" ht="16.5" thickBot="1" x14ac:dyDescent="0.3">
      <c r="B2" s="8" t="s">
        <v>28</v>
      </c>
      <c r="C2" s="304" t="s">
        <v>176</v>
      </c>
      <c r="D2" s="304"/>
      <c r="E2" s="304"/>
      <c r="F2" s="304"/>
      <c r="G2" s="305"/>
      <c r="H2" s="7"/>
    </row>
    <row r="3" spans="1:13" ht="15.75" thickBot="1" x14ac:dyDescent="0.3">
      <c r="B3" s="8" t="s">
        <v>112</v>
      </c>
      <c r="C3" s="9" t="s">
        <v>154</v>
      </c>
      <c r="D3" s="3"/>
      <c r="E3" s="306" t="s">
        <v>30</v>
      </c>
      <c r="F3" s="307"/>
      <c r="G3" s="76" t="s">
        <v>7</v>
      </c>
      <c r="H3" s="7"/>
    </row>
    <row r="4" spans="1:13" thickBot="1" x14ac:dyDescent="0.35">
      <c r="B4" s="8" t="s">
        <v>42</v>
      </c>
      <c r="C4" s="77">
        <v>0.3</v>
      </c>
      <c r="D4" s="3" t="s">
        <v>43</v>
      </c>
      <c r="E4" s="306"/>
      <c r="F4" s="307"/>
      <c r="G4" s="79"/>
      <c r="H4" s="11"/>
    </row>
    <row r="5" spans="1:13" thickBot="1" x14ac:dyDescent="0.35">
      <c r="B5" s="12"/>
      <c r="C5" s="12"/>
      <c r="D5" s="12"/>
      <c r="E5" s="12"/>
      <c r="F5" s="12"/>
      <c r="G5" s="13"/>
      <c r="H5" s="7"/>
    </row>
    <row r="6" spans="1:13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  <c r="J6">
        <v>1.6</v>
      </c>
      <c r="K6" t="s">
        <v>8</v>
      </c>
      <c r="L6">
        <v>1</v>
      </c>
    </row>
    <row r="7" spans="1:13" thickBot="1" x14ac:dyDescent="0.35">
      <c r="A7" s="111" t="str">
        <f>"002"</f>
        <v>002</v>
      </c>
      <c r="B7" s="130" t="str">
        <f>VLOOKUP(A7,MAT!A:H,2,0)</f>
        <v>Piedra Triturada 10/30</v>
      </c>
      <c r="C7" s="131" t="str">
        <f>VLOOKUP(A7,MAT!A:H,3,0)</f>
        <v>tn</v>
      </c>
      <c r="D7" s="152">
        <f>1*C4*1.6</f>
        <v>0.48</v>
      </c>
      <c r="E7" s="115">
        <f>VLOOKUP(A7,MAT!A:H,8,0)</f>
        <v>3855.6</v>
      </c>
      <c r="F7" s="116">
        <f>+D7*E7</f>
        <v>1850.6879999999999</v>
      </c>
      <c r="G7" s="7"/>
      <c r="H7" s="7"/>
      <c r="J7">
        <f>L7*J6</f>
        <v>0.18400000000000002</v>
      </c>
      <c r="L7">
        <v>0.115</v>
      </c>
    </row>
    <row r="8" spans="1:13" thickBot="1" x14ac:dyDescent="0.35">
      <c r="B8" s="17"/>
      <c r="C8" s="17"/>
      <c r="D8" s="18"/>
      <c r="E8" s="298" t="s">
        <v>36</v>
      </c>
      <c r="F8" s="299"/>
      <c r="G8" s="19">
        <f>+SUM(F7:F7)</f>
        <v>1850.6879999999999</v>
      </c>
      <c r="H8" s="7" t="s">
        <v>37</v>
      </c>
    </row>
    <row r="9" spans="1:13" thickBot="1" x14ac:dyDescent="0.35">
      <c r="B9" s="12"/>
      <c r="C9" s="12"/>
      <c r="D9" s="12"/>
      <c r="E9" s="20"/>
      <c r="F9" s="20"/>
      <c r="G9" s="17"/>
      <c r="H9" s="7"/>
      <c r="M9" s="100"/>
    </row>
    <row r="10" spans="1:13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13" thickBot="1" x14ac:dyDescent="0.35">
      <c r="A11" s="111" t="str">
        <f>"002"</f>
        <v>002</v>
      </c>
      <c r="B11" s="130" t="str">
        <f>VLOOKUP(A11,TRANS!A:H,2,0)</f>
        <v>Piedra Triturada 10/30</v>
      </c>
      <c r="C11" s="131" t="str">
        <f>VLOOKUP(A11,TRANS!A:J,3,0)</f>
        <v>tn</v>
      </c>
      <c r="D11" s="152">
        <f>D7</f>
        <v>0.48</v>
      </c>
      <c r="E11" s="132">
        <f>VLOOKUP(A11,TRANS!A:J,5,0)</f>
        <v>350</v>
      </c>
      <c r="F11" s="116">
        <f>D11*E11</f>
        <v>168</v>
      </c>
      <c r="G11" s="7"/>
      <c r="H11" s="7"/>
    </row>
    <row r="12" spans="1:13" thickBot="1" x14ac:dyDescent="0.35">
      <c r="B12" s="17"/>
      <c r="C12" s="17"/>
      <c r="D12" s="24"/>
      <c r="E12" s="298" t="s">
        <v>64</v>
      </c>
      <c r="F12" s="308"/>
      <c r="G12" s="19">
        <f>+SUM(F11:F11)</f>
        <v>168</v>
      </c>
      <c r="H12" s="7" t="s">
        <v>37</v>
      </c>
    </row>
    <row r="13" spans="1:13" thickBot="1" x14ac:dyDescent="0.35">
      <c r="B13" s="13"/>
      <c r="C13" s="13"/>
      <c r="D13" s="13"/>
      <c r="E13" s="17"/>
      <c r="F13" s="17"/>
      <c r="G13" s="17"/>
      <c r="H13" s="7"/>
    </row>
    <row r="14" spans="1:13" ht="29.45" thickBot="1" x14ac:dyDescent="0.35">
      <c r="A14" s="74" t="s">
        <v>63</v>
      </c>
      <c r="B14" s="30" t="s">
        <v>185</v>
      </c>
      <c r="C14" s="31"/>
      <c r="D14" s="31"/>
      <c r="E14" s="31"/>
      <c r="F14" s="16" t="s">
        <v>35</v>
      </c>
      <c r="G14" s="7"/>
      <c r="H14" s="7"/>
    </row>
    <row r="15" spans="1:13" thickBot="1" x14ac:dyDescent="0.35">
      <c r="A15" s="138"/>
      <c r="B15" s="145" t="s">
        <v>172</v>
      </c>
      <c r="C15" s="140"/>
      <c r="D15" s="140"/>
      <c r="E15" s="146"/>
      <c r="F15" s="147">
        <f>G8*0.4</f>
        <v>740.27520000000004</v>
      </c>
      <c r="G15" s="7"/>
      <c r="H15" s="7"/>
    </row>
    <row r="16" spans="1:13" thickBot="1" x14ac:dyDescent="0.35">
      <c r="B16" s="17"/>
      <c r="C16" s="17"/>
      <c r="D16" s="18"/>
      <c r="E16" s="298" t="s">
        <v>193</v>
      </c>
      <c r="F16" s="299"/>
      <c r="G16" s="19">
        <f>+SUM(F15:F15)</f>
        <v>740.27520000000004</v>
      </c>
      <c r="H16" s="7" t="s">
        <v>37</v>
      </c>
    </row>
    <row r="17" spans="2:8" thickBot="1" x14ac:dyDescent="0.35">
      <c r="B17" s="7"/>
      <c r="C17" s="7"/>
      <c r="D17" s="7"/>
      <c r="E17" s="7"/>
      <c r="F17" s="7"/>
      <c r="G17" s="7"/>
      <c r="H17" s="7"/>
    </row>
    <row r="18" spans="2:8" thickBot="1" x14ac:dyDescent="0.35">
      <c r="E18" s="300" t="s">
        <v>66</v>
      </c>
      <c r="F18" s="301"/>
      <c r="G18" s="78">
        <f>+G16+G12+G8</f>
        <v>2758.9632000000001</v>
      </c>
      <c r="H18" s="7" t="s">
        <v>37</v>
      </c>
    </row>
  </sheetData>
  <mergeCells count="8">
    <mergeCell ref="E16:F16"/>
    <mergeCell ref="E18:F18"/>
    <mergeCell ref="B1:C1"/>
    <mergeCell ref="C2:G2"/>
    <mergeCell ref="E3:F3"/>
    <mergeCell ref="E4:F4"/>
    <mergeCell ref="E8:F8"/>
    <mergeCell ref="E12:F12"/>
  </mergeCells>
  <pageMargins left="0.7" right="0.7" top="0.75" bottom="0.75" header="0.3" footer="0.3"/>
  <pageSetup paperSize="9" orientation="portrait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7">
    <tabColor theme="9"/>
  </sheetPr>
  <dimension ref="A1:J27"/>
  <sheetViews>
    <sheetView workbookViewId="0">
      <selection activeCell="E25" sqref="E25:F25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194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124</v>
      </c>
      <c r="D3" s="3"/>
      <c r="E3" s="306" t="s">
        <v>30</v>
      </c>
      <c r="F3" s="307"/>
      <c r="G3" s="75" t="s">
        <v>9</v>
      </c>
      <c r="H3" s="7"/>
    </row>
    <row r="4" spans="1:8" thickBot="1" x14ac:dyDescent="0.35">
      <c r="B4" s="8" t="s">
        <v>42</v>
      </c>
      <c r="C4" s="77">
        <v>0.18</v>
      </c>
      <c r="D4" s="3" t="s">
        <v>43</v>
      </c>
      <c r="E4" s="306"/>
      <c r="F4" s="307"/>
      <c r="G4" s="10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x14ac:dyDescent="0.25">
      <c r="A7" s="111" t="str">
        <f>"023"</f>
        <v>023</v>
      </c>
      <c r="B7" s="112" t="str">
        <f>VLOOKUP(A7,MAT!A:H,2,0)</f>
        <v>Hº ELABORADO H-17</v>
      </c>
      <c r="C7" s="113" t="str">
        <f>VLOOKUP(A7,MAT!A:H,3,0)</f>
        <v>m3</v>
      </c>
      <c r="D7" s="114">
        <f>0.117</f>
        <v>0.11700000000000001</v>
      </c>
      <c r="E7" s="115">
        <f>VLOOKUP(A7,MAT!A:H,8,0)</f>
        <v>42416.354399999997</v>
      </c>
      <c r="F7" s="116">
        <f t="shared" ref="F7" si="0">+D7*E7</f>
        <v>4962.7134648000001</v>
      </c>
      <c r="G7" s="7"/>
      <c r="H7" s="7"/>
    </row>
    <row r="8" spans="1:8" ht="14.45" x14ac:dyDescent="0.3">
      <c r="A8" s="117" t="str">
        <f>"009"</f>
        <v>009</v>
      </c>
      <c r="B8" s="107" t="str">
        <f>VLOOKUP(A8,MAT!A:H,2,0)</f>
        <v>Barra Nervada 6 mm</v>
      </c>
      <c r="C8" s="108" t="str">
        <f>VLOOKUP(A8,MAT!A:H,3,0)</f>
        <v>tn</v>
      </c>
      <c r="D8" s="109">
        <f>0.003*0.117</f>
        <v>3.5100000000000002E-4</v>
      </c>
      <c r="E8" s="110">
        <f>VLOOKUP(A8,MAT!A:H,8,0)</f>
        <v>441698</v>
      </c>
      <c r="F8" s="118">
        <f>+D8*E8</f>
        <v>155.03599800000001</v>
      </c>
      <c r="G8" s="7"/>
      <c r="H8" s="7"/>
    </row>
    <row r="9" spans="1:8" thickBot="1" x14ac:dyDescent="0.35">
      <c r="A9" s="119" t="str">
        <f>"008"</f>
        <v>008</v>
      </c>
      <c r="B9" s="120" t="str">
        <f>VLOOKUP(A9,MAT!A:H,2,0)</f>
        <v>Liq. Curado base solvente</v>
      </c>
      <c r="C9" s="121" t="str">
        <f>VLOOKUP(A9,MAT!A:H,3,0)</f>
        <v>lt</v>
      </c>
      <c r="D9" s="122">
        <f>1.33*0.117</f>
        <v>0.15561000000000003</v>
      </c>
      <c r="E9" s="123">
        <f>VLOOKUP(A9,MAT!A:H,8,0)</f>
        <v>1500</v>
      </c>
      <c r="F9" s="124">
        <f>+D9*E9</f>
        <v>233.41500000000005</v>
      </c>
      <c r="G9" s="7"/>
      <c r="H9" s="7"/>
    </row>
    <row r="10" spans="1:8" thickBot="1" x14ac:dyDescent="0.35">
      <c r="B10" s="17"/>
      <c r="C10" s="17"/>
      <c r="D10" s="18"/>
      <c r="E10" s="298" t="s">
        <v>36</v>
      </c>
      <c r="F10" s="299"/>
      <c r="G10" s="19">
        <f>+SUM(F8:F9)+F7</f>
        <v>5351.1644628000004</v>
      </c>
      <c r="H10" s="11" t="s">
        <v>196</v>
      </c>
    </row>
    <row r="11" spans="1:8" thickBot="1" x14ac:dyDescent="0.35">
      <c r="B11" s="12"/>
      <c r="C11" s="12"/>
      <c r="D11" s="12"/>
      <c r="E11" s="20"/>
      <c r="F11" s="20"/>
      <c r="G11" s="17"/>
      <c r="H11" s="7"/>
    </row>
    <row r="12" spans="1:8" ht="29.45" thickBot="1" x14ac:dyDescent="0.35">
      <c r="A12" s="74" t="s">
        <v>63</v>
      </c>
      <c r="B12" s="30" t="s">
        <v>38</v>
      </c>
      <c r="C12" s="31" t="str">
        <f>+C6</f>
        <v>UNIDAD</v>
      </c>
      <c r="D12" s="31" t="str">
        <f>+D6</f>
        <v>CUANTIA</v>
      </c>
      <c r="E12" s="31" t="str">
        <f>+E6</f>
        <v>PRECIO</v>
      </c>
      <c r="F12" s="125" t="str">
        <f>+F6</f>
        <v>COSTO TOTAL</v>
      </c>
      <c r="G12" s="7"/>
      <c r="H12" s="7"/>
    </row>
    <row r="13" spans="1:8" x14ac:dyDescent="0.25">
      <c r="A13" s="129" t="str">
        <f>A7</f>
        <v>023</v>
      </c>
      <c r="B13" s="130" t="str">
        <f>VLOOKUP(A13,TRANS!A:H,2,0)</f>
        <v>Hº ELABORADO H-17</v>
      </c>
      <c r="C13" s="131" t="str">
        <f>VLOOKUP(A13,TRANS!A:J,3,0)</f>
        <v>m3</v>
      </c>
      <c r="D13" s="114">
        <f>D7</f>
        <v>0.11700000000000001</v>
      </c>
      <c r="E13" s="132">
        <f>VLOOKUP(A13,TRANS!A:J,5,0)</f>
        <v>20</v>
      </c>
      <c r="F13" s="215">
        <f>D13*E13</f>
        <v>2.3400000000000003</v>
      </c>
      <c r="G13" s="7"/>
      <c r="H13" s="7"/>
    </row>
    <row r="14" spans="1:8" ht="14.45" x14ac:dyDescent="0.3">
      <c r="A14" s="133" t="str">
        <f>A8</f>
        <v>009</v>
      </c>
      <c r="B14" s="126" t="str">
        <f>VLOOKUP(A14,TRANS!A:H,2,0)</f>
        <v>Barra Nervada 6 mm</v>
      </c>
      <c r="C14" s="127" t="str">
        <f>VLOOKUP(A14,TRANS!A:J,3,0)</f>
        <v>tn</v>
      </c>
      <c r="D14" s="109">
        <f t="shared" ref="D14:D15" si="1">D8</f>
        <v>3.5100000000000002E-4</v>
      </c>
      <c r="E14" s="128">
        <f>VLOOKUP(A14,TRANS!A:J,5,0)</f>
        <v>0</v>
      </c>
      <c r="F14" s="118">
        <f t="shared" ref="F14:F15" si="2">D14*E14</f>
        <v>0</v>
      </c>
      <c r="G14" s="7"/>
      <c r="H14" s="7"/>
    </row>
    <row r="15" spans="1:8" ht="15" customHeight="1" thickBot="1" x14ac:dyDescent="0.35">
      <c r="A15" s="134" t="str">
        <f>A9</f>
        <v>008</v>
      </c>
      <c r="B15" s="135" t="str">
        <f>VLOOKUP(A15,TRANS!A:H,2,0)</f>
        <v>Liq. Curado base solvente</v>
      </c>
      <c r="C15" s="136" t="str">
        <f>VLOOKUP(A15,TRANS!A:J,3,0)</f>
        <v>lt</v>
      </c>
      <c r="D15" s="122">
        <f t="shared" si="1"/>
        <v>0.15561000000000003</v>
      </c>
      <c r="E15" s="137">
        <f>VLOOKUP(A15,TRANS!A:J,5,0)</f>
        <v>0</v>
      </c>
      <c r="F15" s="124">
        <f t="shared" si="2"/>
        <v>0</v>
      </c>
      <c r="G15" s="7"/>
      <c r="H15" s="7"/>
    </row>
    <row r="16" spans="1:8" thickBot="1" x14ac:dyDescent="0.35">
      <c r="B16" s="17"/>
      <c r="C16" s="17"/>
      <c r="D16" s="24"/>
      <c r="E16" s="298" t="s">
        <v>64</v>
      </c>
      <c r="F16" s="308"/>
      <c r="G16" s="19">
        <f>+SUM(F14:F15)+F13</f>
        <v>2.3400000000000003</v>
      </c>
      <c r="H16" s="7" t="s">
        <v>196</v>
      </c>
    </row>
    <row r="17" spans="1:10" thickBot="1" x14ac:dyDescent="0.35">
      <c r="B17" s="13"/>
      <c r="C17" s="13"/>
      <c r="D17" s="13"/>
      <c r="E17" s="17"/>
      <c r="F17" s="17"/>
      <c r="G17" s="17"/>
      <c r="H17" s="7"/>
    </row>
    <row r="18" spans="1:10" ht="29.45" thickBot="1" x14ac:dyDescent="0.35">
      <c r="A18" s="74" t="s">
        <v>63</v>
      </c>
      <c r="B18" s="30" t="s">
        <v>39</v>
      </c>
      <c r="C18" s="31"/>
      <c r="D18" s="31"/>
      <c r="E18" s="31"/>
      <c r="F18" s="16" t="s">
        <v>35</v>
      </c>
      <c r="G18" s="7"/>
      <c r="H18" s="7"/>
    </row>
    <row r="19" spans="1:10" thickBot="1" x14ac:dyDescent="0.35">
      <c r="A19" s="138"/>
      <c r="B19" s="139" t="s">
        <v>113</v>
      </c>
      <c r="C19" s="140"/>
      <c r="D19" s="140"/>
      <c r="E19" s="141"/>
      <c r="F19" s="142">
        <f>2547.24</f>
        <v>2547.2399999999998</v>
      </c>
      <c r="G19" s="7"/>
      <c r="H19" s="7"/>
    </row>
    <row r="20" spans="1:10" thickBot="1" x14ac:dyDescent="0.35">
      <c r="B20" s="17"/>
      <c r="C20" s="17"/>
      <c r="D20" s="18"/>
      <c r="E20" s="298" t="s">
        <v>65</v>
      </c>
      <c r="F20" s="299"/>
      <c r="G20" s="19">
        <f>+SUM(F18:F19)+F17</f>
        <v>2547.2399999999998</v>
      </c>
      <c r="H20" s="7" t="s">
        <v>196</v>
      </c>
    </row>
    <row r="21" spans="1:10" x14ac:dyDescent="0.25">
      <c r="B21" s="7"/>
      <c r="C21" s="7"/>
      <c r="D21" s="7"/>
      <c r="E21" s="7"/>
      <c r="F21" s="7"/>
      <c r="G21" s="7"/>
      <c r="H21" s="7"/>
    </row>
    <row r="22" spans="1:10" ht="15.75" thickBot="1" x14ac:dyDescent="0.3">
      <c r="B22" s="26"/>
      <c r="C22" s="27"/>
      <c r="D22" s="27"/>
      <c r="E22" s="28"/>
      <c r="F22" s="28"/>
      <c r="G22" s="29"/>
      <c r="H22" s="7"/>
    </row>
    <row r="23" spans="1:10" ht="30.75" thickBot="1" x14ac:dyDescent="0.3">
      <c r="A23" s="74" t="s">
        <v>63</v>
      </c>
      <c r="B23" s="30" t="s">
        <v>40</v>
      </c>
      <c r="C23" s="31"/>
      <c r="D23" s="31"/>
      <c r="E23" s="31"/>
      <c r="F23" s="16" t="s">
        <v>35</v>
      </c>
      <c r="G23" s="32"/>
      <c r="H23" s="32"/>
    </row>
    <row r="24" spans="1:10" ht="13.9" customHeight="1" thickBot="1" x14ac:dyDescent="0.3">
      <c r="A24" s="138"/>
      <c r="B24" s="139" t="s">
        <v>113</v>
      </c>
      <c r="C24" s="140"/>
      <c r="D24" s="140"/>
      <c r="E24" s="141"/>
      <c r="F24" s="142">
        <v>4200</v>
      </c>
      <c r="G24" s="7"/>
      <c r="H24" s="7"/>
      <c r="I24">
        <v>0.1</v>
      </c>
      <c r="J24" t="s">
        <v>99</v>
      </c>
    </row>
    <row r="25" spans="1:10" ht="15.75" thickBot="1" x14ac:dyDescent="0.3">
      <c r="B25" s="17"/>
      <c r="C25" s="17"/>
      <c r="D25" s="18"/>
      <c r="E25" s="298" t="s">
        <v>41</v>
      </c>
      <c r="F25" s="299"/>
      <c r="G25" s="19">
        <f>F24</f>
        <v>4200</v>
      </c>
      <c r="H25" s="7" t="s">
        <v>196</v>
      </c>
    </row>
    <row r="26" spans="1:10" ht="15.75" thickBot="1" x14ac:dyDescent="0.3"/>
    <row r="27" spans="1:10" ht="15.75" thickBot="1" x14ac:dyDescent="0.3">
      <c r="E27" s="313" t="s">
        <v>66</v>
      </c>
      <c r="F27" s="314"/>
      <c r="G27" s="81">
        <f>G25+G10+G16+G20</f>
        <v>12100.744462799999</v>
      </c>
      <c r="H27" s="7" t="s">
        <v>196</v>
      </c>
    </row>
  </sheetData>
  <mergeCells count="9">
    <mergeCell ref="E20:F20"/>
    <mergeCell ref="E25:F25"/>
    <mergeCell ref="E27:F27"/>
    <mergeCell ref="B1:C1"/>
    <mergeCell ref="C2:G2"/>
    <mergeCell ref="E3:F3"/>
    <mergeCell ref="E4:F4"/>
    <mergeCell ref="E10:F10"/>
    <mergeCell ref="E16:F16"/>
  </mergeCells>
  <pageMargins left="0.7" right="0.7" top="0.75" bottom="0.75" header="0.3" footer="0.3"/>
  <pageSetup paperSize="9" orientation="portrait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8">
    <tabColor rgb="FFFFC000"/>
  </sheetPr>
  <dimension ref="A1:M46"/>
  <sheetViews>
    <sheetView topLeftCell="A5" workbookViewId="0">
      <selection activeCell="G23" sqref="G23"/>
    </sheetView>
  </sheetViews>
  <sheetFormatPr baseColWidth="10" defaultRowHeight="15" x14ac:dyDescent="0.25"/>
  <cols>
    <col min="1" max="1" width="6.42578125" customWidth="1"/>
    <col min="2" max="2" width="27.140625" customWidth="1"/>
  </cols>
  <sheetData>
    <row r="1" spans="1:10" ht="15.75" thickBot="1" x14ac:dyDescent="0.3">
      <c r="B1" s="322" t="s">
        <v>67</v>
      </c>
      <c r="C1" s="323"/>
      <c r="D1" s="43">
        <v>1</v>
      </c>
      <c r="E1" s="44"/>
      <c r="F1" s="45"/>
      <c r="G1" s="46"/>
    </row>
    <row r="2" spans="1:10" ht="15.75" thickBot="1" x14ac:dyDescent="0.3">
      <c r="B2" s="322" t="s">
        <v>28</v>
      </c>
      <c r="C2" s="323"/>
      <c r="D2" s="324" t="s">
        <v>68</v>
      </c>
      <c r="E2" s="324"/>
      <c r="F2" s="324"/>
      <c r="G2" s="325"/>
    </row>
    <row r="3" spans="1:10" thickBot="1" x14ac:dyDescent="0.35">
      <c r="B3" s="47"/>
      <c r="C3" s="48"/>
      <c r="D3" s="43"/>
      <c r="E3" s="326" t="s">
        <v>30</v>
      </c>
      <c r="F3" s="327"/>
      <c r="G3" s="49" t="s">
        <v>4</v>
      </c>
    </row>
    <row r="4" spans="1:10" ht="15.75" thickBot="1" x14ac:dyDescent="0.3">
      <c r="B4" s="47"/>
      <c r="C4" s="48"/>
      <c r="D4" s="43"/>
      <c r="E4" s="326" t="s">
        <v>31</v>
      </c>
      <c r="F4" s="327"/>
      <c r="G4" s="49">
        <v>75</v>
      </c>
      <c r="H4" t="s">
        <v>69</v>
      </c>
    </row>
    <row r="5" spans="1:10" thickBot="1" x14ac:dyDescent="0.35">
      <c r="B5" s="50"/>
      <c r="C5" s="50"/>
      <c r="D5" s="50"/>
      <c r="E5" s="50"/>
      <c r="F5" s="50"/>
      <c r="G5" s="51"/>
    </row>
    <row r="6" spans="1:10" ht="29.45" thickBot="1" x14ac:dyDescent="0.35">
      <c r="A6" s="74" t="s">
        <v>63</v>
      </c>
      <c r="B6" s="233" t="s">
        <v>62</v>
      </c>
      <c r="C6" s="234" t="s">
        <v>30</v>
      </c>
      <c r="D6" s="234" t="s">
        <v>33</v>
      </c>
      <c r="E6" s="234" t="s">
        <v>34</v>
      </c>
      <c r="F6" s="235" t="s">
        <v>35</v>
      </c>
      <c r="I6" s="55" t="s">
        <v>70</v>
      </c>
    </row>
    <row r="7" spans="1:10" ht="14.45" x14ac:dyDescent="0.3">
      <c r="A7" s="111" t="str">
        <f>"001"</f>
        <v>001</v>
      </c>
      <c r="B7" s="238" t="str">
        <f>VLOOKUP(A7,MAT!A:B,2,0)</f>
        <v>Cemento Portland a granel</v>
      </c>
      <c r="C7" s="223" t="str">
        <f>VLOOKUP(A7,MAT!A:H,3,0)</f>
        <v>tn</v>
      </c>
      <c r="D7" s="224">
        <v>0.26</v>
      </c>
      <c r="E7" s="239">
        <f>VLOOKUP(A7,MAT!A:H,8,0)</f>
        <v>38964</v>
      </c>
      <c r="F7" s="226">
        <f>+D7*E7</f>
        <v>10130.640000000001</v>
      </c>
      <c r="I7" s="61">
        <v>1.2</v>
      </c>
      <c r="J7" t="s">
        <v>71</v>
      </c>
    </row>
    <row r="8" spans="1:10" ht="14.45" x14ac:dyDescent="0.3">
      <c r="A8" s="117" t="str">
        <f>"002"</f>
        <v>002</v>
      </c>
      <c r="B8" s="236" t="str">
        <f>VLOOKUP(A8,MAT!A:B,2,0)</f>
        <v>Piedra Triturada 10/30</v>
      </c>
      <c r="C8" s="219" t="str">
        <f>VLOOKUP(A8,MAT!A:H,3,0)</f>
        <v>tn</v>
      </c>
      <c r="D8" s="220">
        <f>0.84*I8</f>
        <v>1.1340000000000001</v>
      </c>
      <c r="E8" s="237">
        <f>VLOOKUP(A8,MAT!A:H,8,0)</f>
        <v>3855.6</v>
      </c>
      <c r="F8" s="227">
        <f t="shared" ref="F8:F9" si="0">+D8*E8</f>
        <v>4372.2504000000008</v>
      </c>
      <c r="I8" s="61">
        <v>1.35</v>
      </c>
      <c r="J8" t="s">
        <v>71</v>
      </c>
    </row>
    <row r="9" spans="1:10" ht="15" customHeight="1" thickBot="1" x14ac:dyDescent="0.35">
      <c r="A9" s="119" t="str">
        <f>"003"</f>
        <v>003</v>
      </c>
      <c r="B9" s="240" t="str">
        <f>VLOOKUP(A9,MAT!A:B,2,0)</f>
        <v>Arena Silicea</v>
      </c>
      <c r="C9" s="229" t="str">
        <f>VLOOKUP(A9,MAT!A:H,3,0)</f>
        <v>tn</v>
      </c>
      <c r="D9" s="230">
        <f>0.63*I9</f>
        <v>0.91349999999999998</v>
      </c>
      <c r="E9" s="241">
        <f>VLOOKUP(A9,MAT!A:H,8,0)</f>
        <v>3386.4</v>
      </c>
      <c r="F9" s="232">
        <f t="shared" si="0"/>
        <v>3093.4764</v>
      </c>
      <c r="I9" s="61">
        <v>1.45</v>
      </c>
      <c r="J9" t="s">
        <v>71</v>
      </c>
    </row>
    <row r="10" spans="1:10" ht="15" customHeight="1" thickBot="1" x14ac:dyDescent="0.35">
      <c r="B10" s="62"/>
      <c r="C10" s="62"/>
      <c r="D10" s="63"/>
      <c r="E10" s="317" t="s">
        <v>36</v>
      </c>
      <c r="F10" s="318"/>
      <c r="G10" s="64">
        <f>+SUM(F7:F9)</f>
        <v>17596.366800000003</v>
      </c>
      <c r="H10" t="s">
        <v>72</v>
      </c>
      <c r="I10" s="61">
        <v>0.17</v>
      </c>
      <c r="J10" t="s">
        <v>73</v>
      </c>
    </row>
    <row r="11" spans="1:10" thickBot="1" x14ac:dyDescent="0.35">
      <c r="B11" s="50"/>
      <c r="C11" s="50"/>
      <c r="D11" s="50"/>
      <c r="E11" s="65"/>
      <c r="F11" s="65"/>
      <c r="G11" s="66"/>
      <c r="I11" s="61">
        <f>+D7+D8+D9+I10</f>
        <v>2.4775</v>
      </c>
      <c r="J11" t="s">
        <v>71</v>
      </c>
    </row>
    <row r="12" spans="1:10" thickBot="1" x14ac:dyDescent="0.35">
      <c r="B12" s="50"/>
      <c r="C12" s="50"/>
      <c r="D12" s="50"/>
      <c r="E12" s="65"/>
      <c r="F12" s="65"/>
      <c r="G12" s="67"/>
    </row>
    <row r="13" spans="1:10" ht="29.45" thickBot="1" x14ac:dyDescent="0.35">
      <c r="A13" s="74" t="s">
        <v>63</v>
      </c>
      <c r="B13" s="216" t="s">
        <v>38</v>
      </c>
      <c r="C13" s="217" t="str">
        <f>+C6</f>
        <v>UNIDAD</v>
      </c>
      <c r="D13" s="217" t="str">
        <f>+D6</f>
        <v>CUANTIA</v>
      </c>
      <c r="E13" s="217" t="str">
        <f>+E6</f>
        <v>PRECIO</v>
      </c>
      <c r="F13" s="217" t="str">
        <f>+F6</f>
        <v>COSTO TOTAL</v>
      </c>
      <c r="G13" s="61"/>
    </row>
    <row r="14" spans="1:10" ht="14.45" x14ac:dyDescent="0.3">
      <c r="A14" s="111" t="str">
        <f>A7</f>
        <v>001</v>
      </c>
      <c r="B14" s="222" t="str">
        <f>VLOOKUP(A7,TRANS!A:J,2,0)</f>
        <v>Cemento Portland a granel</v>
      </c>
      <c r="C14" s="223" t="str">
        <f>VLOOKUP(A7,TRANS!A:J,3,0)</f>
        <v>tn</v>
      </c>
      <c r="D14" s="224">
        <f t="shared" ref="D14:D16" si="1">+D7</f>
        <v>0.26</v>
      </c>
      <c r="E14" s="225">
        <f>VLOOKUP(A14,TRANS!A:J,5,0)</f>
        <v>350</v>
      </c>
      <c r="F14" s="226">
        <f>E14*D14</f>
        <v>91</v>
      </c>
      <c r="G14" s="61"/>
    </row>
    <row r="15" spans="1:10" ht="14.45" x14ac:dyDescent="0.3">
      <c r="A15" s="117" t="str">
        <f t="shared" ref="A15:A16" si="2">A8</f>
        <v>002</v>
      </c>
      <c r="B15" s="218" t="str">
        <f>VLOOKUP(A8,TRANS!A:J,2,0)</f>
        <v>Piedra Triturada 10/30</v>
      </c>
      <c r="C15" s="219" t="str">
        <f>VLOOKUP(A8,TRANS!A:J,3,0)</f>
        <v>tn</v>
      </c>
      <c r="D15" s="220">
        <f t="shared" si="1"/>
        <v>1.1340000000000001</v>
      </c>
      <c r="E15" s="221">
        <f>VLOOKUP(A15,TRANS!A:J,5,0)</f>
        <v>350</v>
      </c>
      <c r="F15" s="227">
        <f t="shared" ref="F15:F16" si="3">E15*D15</f>
        <v>396.90000000000003</v>
      </c>
      <c r="G15" s="61"/>
    </row>
    <row r="16" spans="1:10" ht="15" customHeight="1" thickBot="1" x14ac:dyDescent="0.35">
      <c r="A16" s="119" t="str">
        <f t="shared" si="2"/>
        <v>003</v>
      </c>
      <c r="B16" s="228" t="str">
        <f>VLOOKUP(A9,TRANS!A:J,2,0)</f>
        <v>Arena Silicea</v>
      </c>
      <c r="C16" s="229" t="str">
        <f>VLOOKUP(A9,TRANS!A:J,3,0)</f>
        <v>tn</v>
      </c>
      <c r="D16" s="230">
        <f t="shared" si="1"/>
        <v>0.91349999999999998</v>
      </c>
      <c r="E16" s="231">
        <f>VLOOKUP(A16,TRANS!A:J,5,0)</f>
        <v>20</v>
      </c>
      <c r="F16" s="232">
        <f t="shared" si="3"/>
        <v>18.27</v>
      </c>
      <c r="G16" s="61"/>
    </row>
    <row r="17" spans="1:8" ht="15" customHeight="1" thickBot="1" x14ac:dyDescent="0.35">
      <c r="B17" s="62"/>
      <c r="C17" s="62"/>
      <c r="D17" s="68"/>
      <c r="E17" s="317" t="s">
        <v>64</v>
      </c>
      <c r="F17" s="318"/>
      <c r="G17" s="69">
        <f>+SUM(F14:F16)</f>
        <v>506.17</v>
      </c>
      <c r="H17" t="s">
        <v>72</v>
      </c>
    </row>
    <row r="18" spans="1:8" thickBot="1" x14ac:dyDescent="0.35">
      <c r="B18" s="51"/>
      <c r="C18" s="51"/>
      <c r="D18" s="51"/>
      <c r="E18" s="62"/>
      <c r="F18" s="62"/>
      <c r="G18" s="67"/>
    </row>
    <row r="19" spans="1:8" ht="15" customHeight="1" thickBot="1" x14ac:dyDescent="0.35">
      <c r="B19" s="319"/>
      <c r="C19" s="320"/>
      <c r="D19" s="320"/>
      <c r="E19" s="320"/>
      <c r="F19" s="321"/>
      <c r="G19" s="70"/>
    </row>
    <row r="20" spans="1:8" ht="29.45" thickBot="1" x14ac:dyDescent="0.35">
      <c r="A20" s="41" t="s">
        <v>63</v>
      </c>
      <c r="B20" s="21" t="s">
        <v>171</v>
      </c>
      <c r="C20" s="22"/>
      <c r="D20" s="22"/>
      <c r="E20" s="22"/>
      <c r="F20" s="25" t="s">
        <v>35</v>
      </c>
      <c r="G20" s="7"/>
      <c r="H20" s="7"/>
    </row>
    <row r="21" spans="1:8" thickBot="1" x14ac:dyDescent="0.35">
      <c r="A21" s="86"/>
      <c r="B21" s="87" t="s">
        <v>172</v>
      </c>
      <c r="C21" s="88"/>
      <c r="D21" s="88"/>
      <c r="E21" s="89"/>
      <c r="F21" s="90">
        <f>G10*0.4</f>
        <v>7038.5467200000021</v>
      </c>
      <c r="G21" s="7"/>
      <c r="H21" s="7"/>
    </row>
    <row r="22" spans="1:8" thickBot="1" x14ac:dyDescent="0.35">
      <c r="B22" s="17"/>
      <c r="C22" s="17"/>
      <c r="D22" s="18"/>
      <c r="E22" s="298" t="s">
        <v>173</v>
      </c>
      <c r="F22" s="299"/>
      <c r="G22" s="19">
        <f>+SUM(F21:F21)</f>
        <v>7038.5467200000021</v>
      </c>
      <c r="H22" s="7" t="s">
        <v>72</v>
      </c>
    </row>
    <row r="23" spans="1:8" thickBot="1" x14ac:dyDescent="0.35">
      <c r="G23" s="61"/>
    </row>
    <row r="24" spans="1:8" thickBot="1" x14ac:dyDescent="0.35">
      <c r="E24" s="315" t="s">
        <v>81</v>
      </c>
      <c r="F24" s="316"/>
      <c r="G24" s="72">
        <f>G17+G10+G22</f>
        <v>25141.083520000004</v>
      </c>
      <c r="H24" t="s">
        <v>72</v>
      </c>
    </row>
    <row r="25" spans="1:8" ht="15" customHeight="1" x14ac:dyDescent="0.3"/>
    <row r="27" spans="1:8" ht="15" customHeight="1" x14ac:dyDescent="0.25"/>
    <row r="33" spans="9:13" ht="15" customHeight="1" x14ac:dyDescent="0.25"/>
    <row r="35" spans="9:13" ht="15" customHeight="1" x14ac:dyDescent="0.25"/>
    <row r="43" spans="9:13" x14ac:dyDescent="0.25">
      <c r="I43" s="71" t="s">
        <v>74</v>
      </c>
      <c r="J43" s="71"/>
      <c r="K43" s="71"/>
      <c r="L43" s="71"/>
      <c r="M43" t="s">
        <v>75</v>
      </c>
    </row>
    <row r="44" spans="9:13" x14ac:dyDescent="0.25">
      <c r="I44" s="71" t="s">
        <v>76</v>
      </c>
      <c r="J44" s="71"/>
      <c r="K44" s="71"/>
      <c r="L44" s="71"/>
    </row>
    <row r="45" spans="9:13" x14ac:dyDescent="0.25">
      <c r="I45" s="71" t="s">
        <v>77</v>
      </c>
      <c r="J45" s="71"/>
      <c r="K45" s="71"/>
      <c r="L45" s="71"/>
      <c r="M45" t="s">
        <v>78</v>
      </c>
    </row>
    <row r="46" spans="9:13" x14ac:dyDescent="0.25">
      <c r="I46" s="71" t="s">
        <v>79</v>
      </c>
      <c r="J46" s="71"/>
      <c r="K46" s="71"/>
      <c r="L46" s="71"/>
      <c r="M46" t="s">
        <v>80</v>
      </c>
    </row>
  </sheetData>
  <mergeCells count="10">
    <mergeCell ref="B1:C1"/>
    <mergeCell ref="B2:C2"/>
    <mergeCell ref="D2:G2"/>
    <mergeCell ref="E3:F3"/>
    <mergeCell ref="E4:F4"/>
    <mergeCell ref="E24:F24"/>
    <mergeCell ref="E17:F17"/>
    <mergeCell ref="B19:F19"/>
    <mergeCell ref="E22:F22"/>
    <mergeCell ref="E10:F10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9">
    <tabColor rgb="FFFFC000"/>
  </sheetPr>
  <dimension ref="A1:M46"/>
  <sheetViews>
    <sheetView topLeftCell="A6" workbookViewId="0">
      <selection activeCell="G23" sqref="G23"/>
    </sheetView>
  </sheetViews>
  <sheetFormatPr baseColWidth="10" defaultRowHeight="15" x14ac:dyDescent="0.25"/>
  <cols>
    <col min="1" max="1" width="6.42578125" customWidth="1"/>
    <col min="2" max="2" width="27.140625" customWidth="1"/>
  </cols>
  <sheetData>
    <row r="1" spans="1:10" ht="15.75" thickBot="1" x14ac:dyDescent="0.3">
      <c r="B1" s="322" t="s">
        <v>67</v>
      </c>
      <c r="C1" s="323"/>
      <c r="D1" s="43">
        <v>1</v>
      </c>
      <c r="E1" s="44"/>
      <c r="F1" s="45"/>
      <c r="G1" s="46"/>
    </row>
    <row r="2" spans="1:10" ht="15.75" thickBot="1" x14ac:dyDescent="0.3">
      <c r="B2" s="322" t="s">
        <v>28</v>
      </c>
      <c r="C2" s="323"/>
      <c r="D2" s="324" t="s">
        <v>68</v>
      </c>
      <c r="E2" s="324"/>
      <c r="F2" s="324"/>
      <c r="G2" s="325"/>
    </row>
    <row r="3" spans="1:10" thickBot="1" x14ac:dyDescent="0.35">
      <c r="B3" s="47"/>
      <c r="C3" s="48"/>
      <c r="D3" s="43"/>
      <c r="E3" s="326" t="s">
        <v>30</v>
      </c>
      <c r="F3" s="327"/>
      <c r="G3" s="49" t="s">
        <v>4</v>
      </c>
    </row>
    <row r="4" spans="1:10" ht="15.75" thickBot="1" x14ac:dyDescent="0.3">
      <c r="B4" s="47"/>
      <c r="C4" s="48"/>
      <c r="D4" s="43"/>
      <c r="E4" s="326" t="s">
        <v>31</v>
      </c>
      <c r="F4" s="327"/>
      <c r="G4" s="49">
        <v>75</v>
      </c>
      <c r="H4" t="s">
        <v>69</v>
      </c>
    </row>
    <row r="5" spans="1:10" thickBot="1" x14ac:dyDescent="0.35">
      <c r="B5" s="50"/>
      <c r="C5" s="50"/>
      <c r="D5" s="50"/>
      <c r="E5" s="50"/>
      <c r="F5" s="50"/>
      <c r="G5" s="51"/>
    </row>
    <row r="6" spans="1:10" ht="29.45" thickBot="1" x14ac:dyDescent="0.35">
      <c r="A6" s="41" t="s">
        <v>63</v>
      </c>
      <c r="B6" s="52" t="s">
        <v>62</v>
      </c>
      <c r="C6" s="53" t="s">
        <v>30</v>
      </c>
      <c r="D6" s="53" t="s">
        <v>33</v>
      </c>
      <c r="E6" s="53" t="s">
        <v>34</v>
      </c>
      <c r="F6" s="54" t="s">
        <v>35</v>
      </c>
      <c r="I6" s="55" t="s">
        <v>70</v>
      </c>
    </row>
    <row r="7" spans="1:10" thickBot="1" x14ac:dyDescent="0.35">
      <c r="A7" s="39" t="str">
        <f>"001"</f>
        <v>001</v>
      </c>
      <c r="B7" s="56" t="str">
        <f>VLOOKUP(A7,MAT!A:B,2,0)</f>
        <v>Cemento Portland a granel</v>
      </c>
      <c r="C7" s="57" t="str">
        <f>VLOOKUP(A7,MAT!A:H,3,0)</f>
        <v>tn</v>
      </c>
      <c r="D7" s="58">
        <v>0.3</v>
      </c>
      <c r="E7" s="59">
        <f>VLOOKUP(A7,MAT!A:H,8,0)</f>
        <v>38964</v>
      </c>
      <c r="F7" s="60">
        <f>+D7*E7</f>
        <v>11689.199999999999</v>
      </c>
      <c r="I7" s="61">
        <v>1.2</v>
      </c>
      <c r="J7" t="s">
        <v>71</v>
      </c>
    </row>
    <row r="8" spans="1:10" thickBot="1" x14ac:dyDescent="0.35">
      <c r="A8" s="39" t="str">
        <f>"002"</f>
        <v>002</v>
      </c>
      <c r="B8" s="56" t="str">
        <f>VLOOKUP(A8,MAT!A:B,2,0)</f>
        <v>Piedra Triturada 10/30</v>
      </c>
      <c r="C8" s="57" t="str">
        <f>VLOOKUP(A8,MAT!A:H,3,0)</f>
        <v>tn</v>
      </c>
      <c r="D8" s="58">
        <f>0.96*I8</f>
        <v>1.296</v>
      </c>
      <c r="E8" s="59">
        <f>VLOOKUP(A8,MAT!A:H,8,0)</f>
        <v>3855.6</v>
      </c>
      <c r="F8" s="60">
        <f t="shared" ref="F8:F9" si="0">+D8*E8</f>
        <v>4996.8576000000003</v>
      </c>
      <c r="I8" s="61">
        <v>1.35</v>
      </c>
      <c r="J8" t="s">
        <v>71</v>
      </c>
    </row>
    <row r="9" spans="1:10" ht="15" customHeight="1" thickBot="1" x14ac:dyDescent="0.35">
      <c r="A9" s="39" t="str">
        <f>"003"</f>
        <v>003</v>
      </c>
      <c r="B9" s="56" t="str">
        <f>VLOOKUP(A9,MAT!A:B,2,0)</f>
        <v>Arena Silicea</v>
      </c>
      <c r="C9" s="57" t="str">
        <f>VLOOKUP(A9,MAT!A:H,3,0)</f>
        <v>tn</v>
      </c>
      <c r="D9" s="58">
        <f>0.48*I9</f>
        <v>0.69599999999999995</v>
      </c>
      <c r="E9" s="59">
        <f>VLOOKUP(A9,MAT!A:H,8,0)</f>
        <v>3386.4</v>
      </c>
      <c r="F9" s="60">
        <f t="shared" si="0"/>
        <v>2356.9344000000001</v>
      </c>
      <c r="I9" s="61">
        <v>1.45</v>
      </c>
      <c r="J9" t="s">
        <v>71</v>
      </c>
    </row>
    <row r="10" spans="1:10" ht="15" customHeight="1" thickBot="1" x14ac:dyDescent="0.35">
      <c r="B10" s="62"/>
      <c r="C10" s="62"/>
      <c r="D10" s="63"/>
      <c r="E10" s="328" t="s">
        <v>36</v>
      </c>
      <c r="F10" s="329"/>
      <c r="G10" s="64">
        <f>+SUM(F7:F9)</f>
        <v>19042.991999999998</v>
      </c>
      <c r="H10" t="s">
        <v>72</v>
      </c>
      <c r="I10" s="61">
        <v>0.17</v>
      </c>
      <c r="J10" t="s">
        <v>73</v>
      </c>
    </row>
    <row r="11" spans="1:10" thickBot="1" x14ac:dyDescent="0.35">
      <c r="B11" s="50"/>
      <c r="C11" s="50"/>
      <c r="D11" s="50"/>
      <c r="E11" s="65"/>
      <c r="F11" s="65"/>
      <c r="G11" s="66"/>
      <c r="I11" s="61">
        <f>+D7+D8+D9+I10</f>
        <v>2.4619999999999997</v>
      </c>
      <c r="J11" t="s">
        <v>71</v>
      </c>
    </row>
    <row r="12" spans="1:10" thickBot="1" x14ac:dyDescent="0.35">
      <c r="B12" s="50"/>
      <c r="C12" s="50"/>
      <c r="D12" s="50"/>
      <c r="E12" s="65"/>
      <c r="F12" s="65"/>
      <c r="G12" s="67"/>
    </row>
    <row r="13" spans="1:10" ht="29.45" thickBot="1" x14ac:dyDescent="0.35">
      <c r="A13" s="74" t="s">
        <v>63</v>
      </c>
      <c r="B13" s="216" t="s">
        <v>38</v>
      </c>
      <c r="C13" s="217" t="str">
        <f>+C6</f>
        <v>UNIDAD</v>
      </c>
      <c r="D13" s="217" t="str">
        <f>+D6</f>
        <v>CUANTIA</v>
      </c>
      <c r="E13" s="217" t="str">
        <f>+E6</f>
        <v>PRECIO</v>
      </c>
      <c r="F13" s="217" t="str">
        <f>+F6</f>
        <v>COSTO TOTAL</v>
      </c>
      <c r="G13" s="61"/>
    </row>
    <row r="14" spans="1:10" ht="14.45" x14ac:dyDescent="0.3">
      <c r="A14" s="111" t="str">
        <f>A7</f>
        <v>001</v>
      </c>
      <c r="B14" s="222" t="str">
        <f>VLOOKUP(A7,TRANS!A:J,2,0)</f>
        <v>Cemento Portland a granel</v>
      </c>
      <c r="C14" s="223" t="str">
        <f>VLOOKUP(A7,TRANS!A:J,3,0)</f>
        <v>tn</v>
      </c>
      <c r="D14" s="224">
        <f t="shared" ref="D14:D16" si="1">+D7</f>
        <v>0.3</v>
      </c>
      <c r="E14" s="225">
        <f>VLOOKUP(A14,TRANS!A:J,5,0)</f>
        <v>350</v>
      </c>
      <c r="F14" s="226">
        <f t="shared" ref="F14:F16" si="2">+D14*E14</f>
        <v>105</v>
      </c>
      <c r="G14" s="61"/>
    </row>
    <row r="15" spans="1:10" ht="14.45" x14ac:dyDescent="0.3">
      <c r="A15" s="117" t="str">
        <f t="shared" ref="A15:A16" si="3">A8</f>
        <v>002</v>
      </c>
      <c r="B15" s="218" t="str">
        <f>VLOOKUP(A8,TRANS!A:J,2,0)</f>
        <v>Piedra Triturada 10/30</v>
      </c>
      <c r="C15" s="219" t="str">
        <f>VLOOKUP(A8,TRANS!A:J,3,0)</f>
        <v>tn</v>
      </c>
      <c r="D15" s="220">
        <f t="shared" si="1"/>
        <v>1.296</v>
      </c>
      <c r="E15" s="221">
        <f>VLOOKUP(A15,TRANS!A:J,5,0)</f>
        <v>350</v>
      </c>
      <c r="F15" s="227">
        <f t="shared" si="2"/>
        <v>453.6</v>
      </c>
      <c r="G15" s="61"/>
    </row>
    <row r="16" spans="1:10" ht="15" customHeight="1" thickBot="1" x14ac:dyDescent="0.35">
      <c r="A16" s="119" t="str">
        <f t="shared" si="3"/>
        <v>003</v>
      </c>
      <c r="B16" s="228" t="str">
        <f>VLOOKUP(A9,TRANS!A:J,2,0)</f>
        <v>Arena Silicea</v>
      </c>
      <c r="C16" s="229" t="str">
        <f>VLOOKUP(A9,TRANS!A:J,3,0)</f>
        <v>tn</v>
      </c>
      <c r="D16" s="230">
        <f t="shared" si="1"/>
        <v>0.69599999999999995</v>
      </c>
      <c r="E16" s="231">
        <f>VLOOKUP(A16,TRANS!A:J,5,0)</f>
        <v>20</v>
      </c>
      <c r="F16" s="232">
        <f t="shared" si="2"/>
        <v>13.919999999999998</v>
      </c>
      <c r="G16" s="61"/>
    </row>
    <row r="17" spans="1:8" ht="15" customHeight="1" thickBot="1" x14ac:dyDescent="0.35">
      <c r="B17" s="62"/>
      <c r="C17" s="62"/>
      <c r="D17" s="68"/>
      <c r="E17" s="317" t="s">
        <v>64</v>
      </c>
      <c r="F17" s="318"/>
      <c r="G17" s="69">
        <f>+SUM(F14:F16)</f>
        <v>572.52</v>
      </c>
      <c r="H17" t="s">
        <v>72</v>
      </c>
    </row>
    <row r="18" spans="1:8" thickBot="1" x14ac:dyDescent="0.35">
      <c r="B18" s="51"/>
      <c r="C18" s="51"/>
      <c r="D18" s="51"/>
      <c r="E18" s="62"/>
      <c r="F18" s="62"/>
      <c r="G18" s="67"/>
    </row>
    <row r="19" spans="1:8" ht="15" customHeight="1" thickBot="1" x14ac:dyDescent="0.35">
      <c r="B19" s="319"/>
      <c r="C19" s="320"/>
      <c r="D19" s="320"/>
      <c r="E19" s="320"/>
      <c r="F19" s="321"/>
      <c r="G19" s="70"/>
    </row>
    <row r="20" spans="1:8" ht="29.45" thickBot="1" x14ac:dyDescent="0.35">
      <c r="A20" s="41" t="s">
        <v>63</v>
      </c>
      <c r="B20" s="21" t="s">
        <v>171</v>
      </c>
      <c r="C20" s="22"/>
      <c r="D20" s="22"/>
      <c r="E20" s="22"/>
      <c r="F20" s="25" t="s">
        <v>35</v>
      </c>
      <c r="G20" s="7"/>
      <c r="H20" s="7"/>
    </row>
    <row r="21" spans="1:8" thickBot="1" x14ac:dyDescent="0.35">
      <c r="A21" s="86"/>
      <c r="B21" s="87" t="s">
        <v>172</v>
      </c>
      <c r="C21" s="88"/>
      <c r="D21" s="88"/>
      <c r="E21" s="89"/>
      <c r="F21" s="90">
        <f>G10*0.4</f>
        <v>7617.1967999999997</v>
      </c>
      <c r="G21" s="7"/>
      <c r="H21" s="7"/>
    </row>
    <row r="22" spans="1:8" thickBot="1" x14ac:dyDescent="0.35">
      <c r="B22" s="17"/>
      <c r="C22" s="17"/>
      <c r="D22" s="18"/>
      <c r="E22" s="298" t="s">
        <v>173</v>
      </c>
      <c r="F22" s="299"/>
      <c r="G22" s="19">
        <f>+SUM(F21:F21)</f>
        <v>7617.1967999999997</v>
      </c>
      <c r="H22" s="7" t="s">
        <v>72</v>
      </c>
    </row>
    <row r="23" spans="1:8" thickBot="1" x14ac:dyDescent="0.35">
      <c r="G23" s="61"/>
    </row>
    <row r="24" spans="1:8" thickBot="1" x14ac:dyDescent="0.35">
      <c r="E24" s="315" t="s">
        <v>81</v>
      </c>
      <c r="F24" s="316"/>
      <c r="G24" s="72">
        <f>G17+G10+G22</f>
        <v>27232.7088</v>
      </c>
      <c r="H24" t="s">
        <v>72</v>
      </c>
    </row>
    <row r="25" spans="1:8" ht="15" customHeight="1" x14ac:dyDescent="0.3"/>
    <row r="27" spans="1:8" ht="15" customHeight="1" x14ac:dyDescent="0.25"/>
    <row r="33" spans="9:13" ht="15" customHeight="1" x14ac:dyDescent="0.25"/>
    <row r="35" spans="9:13" ht="15" customHeight="1" x14ac:dyDescent="0.25"/>
    <row r="43" spans="9:13" x14ac:dyDescent="0.25">
      <c r="I43" s="71" t="s">
        <v>74</v>
      </c>
      <c r="J43" s="71"/>
      <c r="K43" s="71"/>
      <c r="L43" s="71"/>
      <c r="M43" t="s">
        <v>75</v>
      </c>
    </row>
    <row r="44" spans="9:13" x14ac:dyDescent="0.25">
      <c r="I44" s="71" t="s">
        <v>76</v>
      </c>
      <c r="J44" s="71"/>
      <c r="K44" s="71"/>
      <c r="L44" s="71"/>
    </row>
    <row r="45" spans="9:13" x14ac:dyDescent="0.25">
      <c r="I45" s="71" t="s">
        <v>77</v>
      </c>
      <c r="J45" s="71"/>
      <c r="K45" s="71"/>
      <c r="L45" s="71"/>
      <c r="M45" t="s">
        <v>78</v>
      </c>
    </row>
    <row r="46" spans="9:13" x14ac:dyDescent="0.25">
      <c r="I46" s="71" t="s">
        <v>79</v>
      </c>
      <c r="J46" s="71"/>
      <c r="K46" s="71"/>
      <c r="L46" s="71"/>
      <c r="M46" t="s">
        <v>80</v>
      </c>
    </row>
  </sheetData>
  <mergeCells count="10">
    <mergeCell ref="E17:F17"/>
    <mergeCell ref="B19:F19"/>
    <mergeCell ref="E22:F22"/>
    <mergeCell ref="E24:F24"/>
    <mergeCell ref="B1:C1"/>
    <mergeCell ref="B2:C2"/>
    <mergeCell ref="D2:G2"/>
    <mergeCell ref="E3:F3"/>
    <mergeCell ref="E4:F4"/>
    <mergeCell ref="E10:F10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40">
    <tabColor rgb="FFFFC000"/>
  </sheetPr>
  <dimension ref="A1:J24"/>
  <sheetViews>
    <sheetView topLeftCell="A6" workbookViewId="0">
      <selection activeCell="G23" sqref="G23"/>
    </sheetView>
  </sheetViews>
  <sheetFormatPr baseColWidth="10" defaultRowHeight="15" x14ac:dyDescent="0.25"/>
  <cols>
    <col min="1" max="1" width="6.42578125" customWidth="1"/>
    <col min="2" max="2" width="27.140625" customWidth="1"/>
  </cols>
  <sheetData>
    <row r="1" spans="1:10" ht="15.75" thickBot="1" x14ac:dyDescent="0.3">
      <c r="B1" s="322" t="s">
        <v>67</v>
      </c>
      <c r="C1" s="323"/>
      <c r="D1" s="43">
        <v>1</v>
      </c>
      <c r="E1" s="44"/>
      <c r="F1" s="45"/>
      <c r="G1" s="46"/>
    </row>
    <row r="2" spans="1:10" ht="15.75" thickBot="1" x14ac:dyDescent="0.3">
      <c r="B2" s="322" t="s">
        <v>28</v>
      </c>
      <c r="C2" s="323"/>
      <c r="D2" s="324" t="s">
        <v>90</v>
      </c>
      <c r="E2" s="324"/>
      <c r="F2" s="324"/>
      <c r="G2" s="325"/>
    </row>
    <row r="3" spans="1:10" thickBot="1" x14ac:dyDescent="0.35">
      <c r="B3" s="47"/>
      <c r="C3" s="48"/>
      <c r="D3" s="43"/>
      <c r="E3" s="326" t="s">
        <v>30</v>
      </c>
      <c r="F3" s="327"/>
      <c r="G3" s="49" t="s">
        <v>4</v>
      </c>
    </row>
    <row r="4" spans="1:10" ht="15.75" thickBot="1" x14ac:dyDescent="0.3">
      <c r="B4" s="47"/>
      <c r="C4" s="48"/>
      <c r="D4" s="43"/>
      <c r="E4" s="326" t="s">
        <v>31</v>
      </c>
      <c r="F4" s="327"/>
      <c r="G4" s="49">
        <v>75</v>
      </c>
      <c r="H4" t="s">
        <v>69</v>
      </c>
    </row>
    <row r="5" spans="1:10" thickBot="1" x14ac:dyDescent="0.35">
      <c r="B5" s="50"/>
      <c r="C5" s="50"/>
      <c r="D5" s="50"/>
      <c r="E5" s="50"/>
      <c r="F5" s="50"/>
      <c r="G5" s="51"/>
    </row>
    <row r="6" spans="1:10" ht="29.45" thickBot="1" x14ac:dyDescent="0.35">
      <c r="A6" s="41" t="s">
        <v>63</v>
      </c>
      <c r="B6" s="52" t="s">
        <v>62</v>
      </c>
      <c r="C6" s="53" t="s">
        <v>30</v>
      </c>
      <c r="D6" s="53" t="s">
        <v>33</v>
      </c>
      <c r="E6" s="53" t="s">
        <v>34</v>
      </c>
      <c r="F6" s="54" t="s">
        <v>35</v>
      </c>
      <c r="I6" s="55" t="s">
        <v>70</v>
      </c>
    </row>
    <row r="7" spans="1:10" thickBot="1" x14ac:dyDescent="0.35">
      <c r="A7" s="39" t="str">
        <f>"001"</f>
        <v>001</v>
      </c>
      <c r="B7" s="56" t="str">
        <f>VLOOKUP(A7,MAT!A:B,2,0)</f>
        <v>Cemento Portland a granel</v>
      </c>
      <c r="C7" s="57" t="str">
        <f>VLOOKUP(A7,MAT!A:H,3,0)</f>
        <v>tn</v>
      </c>
      <c r="D7" s="58">
        <v>0.42</v>
      </c>
      <c r="E7" s="59">
        <f>VLOOKUP(A7,MAT!A:H,8,0)</f>
        <v>38964</v>
      </c>
      <c r="F7" s="60">
        <f>+D7*E7</f>
        <v>16364.88</v>
      </c>
      <c r="I7" s="61">
        <v>1.2</v>
      </c>
      <c r="J7" t="s">
        <v>71</v>
      </c>
    </row>
    <row r="8" spans="1:10" thickBot="1" x14ac:dyDescent="0.35">
      <c r="A8" s="39" t="str">
        <f>"002"</f>
        <v>002</v>
      </c>
      <c r="B8" s="56" t="str">
        <f>VLOOKUP(A8,MAT!A:B,2,0)</f>
        <v>Piedra Triturada 10/30</v>
      </c>
      <c r="C8" s="57" t="str">
        <f>VLOOKUP(A8,MAT!A:H,3,0)</f>
        <v>tn</v>
      </c>
      <c r="D8" s="58">
        <f>0.67*I8</f>
        <v>0.90450000000000008</v>
      </c>
      <c r="E8" s="59">
        <f>VLOOKUP(A8,MAT!A:H,8,0)</f>
        <v>3855.6</v>
      </c>
      <c r="F8" s="60">
        <f t="shared" ref="F8:F9" si="0">+D8*E8</f>
        <v>3487.3902000000003</v>
      </c>
      <c r="I8" s="61">
        <v>1.35</v>
      </c>
      <c r="J8" t="s">
        <v>71</v>
      </c>
    </row>
    <row r="9" spans="1:10" ht="15" customHeight="1" thickBot="1" x14ac:dyDescent="0.35">
      <c r="A9" s="39" t="str">
        <f>"003"</f>
        <v>003</v>
      </c>
      <c r="B9" s="56" t="str">
        <f>VLOOKUP(A9,MAT!A:B,2,0)</f>
        <v>Arena Silicea</v>
      </c>
      <c r="C9" s="57" t="str">
        <f>VLOOKUP(A9,MAT!A:H,3,0)</f>
        <v>tn</v>
      </c>
      <c r="D9" s="58">
        <f>0.67*I9</f>
        <v>0.97150000000000003</v>
      </c>
      <c r="E9" s="59">
        <f>VLOOKUP(A9,MAT!A:H,8,0)</f>
        <v>3386.4</v>
      </c>
      <c r="F9" s="60">
        <f t="shared" si="0"/>
        <v>3289.8876</v>
      </c>
      <c r="I9" s="61">
        <v>1.45</v>
      </c>
      <c r="J9" t="s">
        <v>71</v>
      </c>
    </row>
    <row r="10" spans="1:10" ht="15" customHeight="1" thickBot="1" x14ac:dyDescent="0.35">
      <c r="B10" s="62"/>
      <c r="C10" s="62"/>
      <c r="D10" s="63"/>
      <c r="E10" s="328" t="s">
        <v>36</v>
      </c>
      <c r="F10" s="329"/>
      <c r="G10" s="64">
        <f>+SUM(F7:F9)</f>
        <v>23142.157800000001</v>
      </c>
      <c r="H10" t="s">
        <v>72</v>
      </c>
      <c r="I10" s="61">
        <v>0.17</v>
      </c>
      <c r="J10" t="s">
        <v>73</v>
      </c>
    </row>
    <row r="11" spans="1:10" thickBot="1" x14ac:dyDescent="0.35">
      <c r="B11" s="50"/>
      <c r="C11" s="50"/>
      <c r="D11" s="50"/>
      <c r="E11" s="65"/>
      <c r="F11" s="65"/>
      <c r="G11" s="66"/>
      <c r="I11" s="61">
        <f>+D7+D8+D9+I10</f>
        <v>2.4660000000000002</v>
      </c>
      <c r="J11" t="s">
        <v>71</v>
      </c>
    </row>
    <row r="12" spans="1:10" thickBot="1" x14ac:dyDescent="0.35">
      <c r="B12" s="50"/>
      <c r="C12" s="50"/>
      <c r="D12" s="50"/>
      <c r="E12" s="65"/>
      <c r="F12" s="65"/>
      <c r="G12" s="67"/>
    </row>
    <row r="13" spans="1:10" ht="29.45" thickBot="1" x14ac:dyDescent="0.35">
      <c r="A13" s="74" t="s">
        <v>63</v>
      </c>
      <c r="B13" s="216" t="s">
        <v>38</v>
      </c>
      <c r="C13" s="217" t="str">
        <f>+C6</f>
        <v>UNIDAD</v>
      </c>
      <c r="D13" s="217" t="str">
        <f>+D6</f>
        <v>CUANTIA</v>
      </c>
      <c r="E13" s="217" t="str">
        <f>+E6</f>
        <v>PRECIO</v>
      </c>
      <c r="F13" s="217" t="str">
        <f>+F6</f>
        <v>COSTO TOTAL</v>
      </c>
      <c r="G13" s="61"/>
    </row>
    <row r="14" spans="1:10" ht="14.45" x14ac:dyDescent="0.3">
      <c r="A14" s="111" t="str">
        <f>A7</f>
        <v>001</v>
      </c>
      <c r="B14" s="222" t="str">
        <f>VLOOKUP(A7,TRANS!A:J,2,0)</f>
        <v>Cemento Portland a granel</v>
      </c>
      <c r="C14" s="223" t="str">
        <f>VLOOKUP(A7,TRANS!A:J,3,0)</f>
        <v>tn</v>
      </c>
      <c r="D14" s="224">
        <f>+D7</f>
        <v>0.42</v>
      </c>
      <c r="E14" s="225">
        <f>VLOOKUP(A14,TRANS!A:J,5,0)</f>
        <v>350</v>
      </c>
      <c r="F14" s="226">
        <f t="shared" ref="F14:F16" si="1">+D14*E14</f>
        <v>147</v>
      </c>
      <c r="G14" s="61"/>
    </row>
    <row r="15" spans="1:10" ht="14.45" x14ac:dyDescent="0.3">
      <c r="A15" s="117" t="str">
        <f>A8</f>
        <v>002</v>
      </c>
      <c r="B15" s="218" t="str">
        <f>VLOOKUP(A8,TRANS!A:J,2,0)</f>
        <v>Piedra Triturada 10/30</v>
      </c>
      <c r="C15" s="219" t="str">
        <f>VLOOKUP(A8,TRANS!A:J,3,0)</f>
        <v>tn</v>
      </c>
      <c r="D15" s="220">
        <f>+D8</f>
        <v>0.90450000000000008</v>
      </c>
      <c r="E15" s="221">
        <f>VLOOKUP(A15,TRANS!A:J,5,0)</f>
        <v>350</v>
      </c>
      <c r="F15" s="227">
        <f t="shared" si="1"/>
        <v>316.57500000000005</v>
      </c>
      <c r="G15" s="61"/>
    </row>
    <row r="16" spans="1:10" ht="15" customHeight="1" thickBot="1" x14ac:dyDescent="0.35">
      <c r="A16" s="119" t="str">
        <f t="shared" ref="A16" si="2">A9</f>
        <v>003</v>
      </c>
      <c r="B16" s="228" t="str">
        <f>VLOOKUP(A9,TRANS!A:J,2,0)</f>
        <v>Arena Silicea</v>
      </c>
      <c r="C16" s="229" t="str">
        <f>VLOOKUP(A9,TRANS!A:J,3,0)</f>
        <v>tn</v>
      </c>
      <c r="D16" s="230">
        <f t="shared" ref="D16" si="3">+D9</f>
        <v>0.97150000000000003</v>
      </c>
      <c r="E16" s="231">
        <f>VLOOKUP(A16,TRANS!A:J,5,0)</f>
        <v>20</v>
      </c>
      <c r="F16" s="232">
        <f t="shared" si="1"/>
        <v>19.43</v>
      </c>
      <c r="G16" s="61"/>
    </row>
    <row r="17" spans="1:8" ht="15" customHeight="1" thickBot="1" x14ac:dyDescent="0.35">
      <c r="B17" s="62"/>
      <c r="C17" s="62"/>
      <c r="D17" s="68"/>
      <c r="E17" s="317" t="s">
        <v>64</v>
      </c>
      <c r="F17" s="318"/>
      <c r="G17" s="69">
        <f>+SUM(F14:F16)</f>
        <v>483.00500000000005</v>
      </c>
      <c r="H17" t="s">
        <v>72</v>
      </c>
    </row>
    <row r="18" spans="1:8" thickBot="1" x14ac:dyDescent="0.35">
      <c r="B18" s="51"/>
      <c r="C18" s="51"/>
      <c r="D18" s="51"/>
      <c r="E18" s="62"/>
      <c r="F18" s="62"/>
      <c r="G18" s="67"/>
    </row>
    <row r="19" spans="1:8" ht="15" customHeight="1" thickBot="1" x14ac:dyDescent="0.35">
      <c r="B19" s="319"/>
      <c r="C19" s="320"/>
      <c r="D19" s="320"/>
      <c r="E19" s="320"/>
      <c r="F19" s="321"/>
      <c r="G19" s="70"/>
    </row>
    <row r="20" spans="1:8" ht="29.45" thickBot="1" x14ac:dyDescent="0.35">
      <c r="A20" s="41" t="s">
        <v>63</v>
      </c>
      <c r="B20" s="21" t="s">
        <v>171</v>
      </c>
      <c r="C20" s="22"/>
      <c r="D20" s="22"/>
      <c r="E20" s="22"/>
      <c r="F20" s="25" t="s">
        <v>35</v>
      </c>
      <c r="G20" s="7"/>
      <c r="H20" s="7"/>
    </row>
    <row r="21" spans="1:8" thickBot="1" x14ac:dyDescent="0.35">
      <c r="A21" s="86"/>
      <c r="B21" s="87" t="s">
        <v>172</v>
      </c>
      <c r="C21" s="88"/>
      <c r="D21" s="88"/>
      <c r="E21" s="89"/>
      <c r="F21" s="90">
        <f>G10*0.4</f>
        <v>9256.86312</v>
      </c>
      <c r="G21" s="7"/>
      <c r="H21" s="7"/>
    </row>
    <row r="22" spans="1:8" thickBot="1" x14ac:dyDescent="0.35">
      <c r="B22" s="17"/>
      <c r="C22" s="17"/>
      <c r="D22" s="18"/>
      <c r="E22" s="298" t="s">
        <v>173</v>
      </c>
      <c r="F22" s="299"/>
      <c r="G22" s="19">
        <f>+SUM(F21:F21)</f>
        <v>9256.86312</v>
      </c>
      <c r="H22" s="7" t="s">
        <v>72</v>
      </c>
    </row>
    <row r="23" spans="1:8" thickBot="1" x14ac:dyDescent="0.35">
      <c r="G23" s="61"/>
    </row>
    <row r="24" spans="1:8" thickBot="1" x14ac:dyDescent="0.35">
      <c r="E24" s="315" t="s">
        <v>81</v>
      </c>
      <c r="F24" s="316"/>
      <c r="G24" s="72">
        <f>G17+G10+G22</f>
        <v>32882.02592</v>
      </c>
      <c r="H24" t="s">
        <v>72</v>
      </c>
    </row>
  </sheetData>
  <mergeCells count="10">
    <mergeCell ref="B1:C1"/>
    <mergeCell ref="B2:C2"/>
    <mergeCell ref="D2:G2"/>
    <mergeCell ref="E3:F3"/>
    <mergeCell ref="E4:F4"/>
    <mergeCell ref="E24:F24"/>
    <mergeCell ref="E17:F17"/>
    <mergeCell ref="B19:F19"/>
    <mergeCell ref="E22:F22"/>
    <mergeCell ref="E10:F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rgb="FFFF0000"/>
  </sheetPr>
  <dimension ref="A1:J35"/>
  <sheetViews>
    <sheetView workbookViewId="0">
      <selection activeCell="L12" sqref="L12"/>
    </sheetView>
  </sheetViews>
  <sheetFormatPr baseColWidth="10" defaultRowHeight="15" x14ac:dyDescent="0.25"/>
  <cols>
    <col min="1" max="1" width="4.85546875" customWidth="1"/>
    <col min="2" max="2" width="35.28515625" customWidth="1"/>
    <col min="9" max="9" width="11" bestFit="1" customWidth="1"/>
  </cols>
  <sheetData>
    <row r="1" spans="1:10" ht="17.45" x14ac:dyDescent="0.3">
      <c r="A1" s="296" t="s">
        <v>89</v>
      </c>
      <c r="B1" s="296"/>
      <c r="C1" s="296"/>
      <c r="D1" s="296"/>
      <c r="E1" s="296"/>
      <c r="F1" s="296"/>
      <c r="G1" s="296"/>
      <c r="H1" s="296"/>
      <c r="I1" s="296"/>
      <c r="J1" s="296"/>
    </row>
    <row r="2" spans="1:10" ht="14.45" customHeight="1" x14ac:dyDescent="0.3">
      <c r="A2" s="297"/>
      <c r="B2" s="297"/>
      <c r="C2" s="297"/>
      <c r="D2" s="297"/>
      <c r="E2" s="297"/>
      <c r="F2" s="297"/>
      <c r="G2" s="297"/>
      <c r="H2" s="297"/>
      <c r="I2" s="297"/>
      <c r="J2" s="297"/>
    </row>
    <row r="3" spans="1:10" ht="51.75" x14ac:dyDescent="0.25">
      <c r="A3" s="295" t="s">
        <v>45</v>
      </c>
      <c r="B3" s="295"/>
      <c r="C3" s="295" t="s">
        <v>0</v>
      </c>
      <c r="D3" s="295" t="s">
        <v>46</v>
      </c>
      <c r="E3" s="196" t="s">
        <v>82</v>
      </c>
      <c r="F3" s="196" t="s">
        <v>83</v>
      </c>
      <c r="G3" s="196" t="s">
        <v>84</v>
      </c>
      <c r="H3" s="196" t="s">
        <v>48</v>
      </c>
      <c r="I3" s="196" t="s">
        <v>49</v>
      </c>
      <c r="J3" s="196" t="s">
        <v>50</v>
      </c>
    </row>
    <row r="4" spans="1:10" ht="14.45" customHeight="1" x14ac:dyDescent="0.25">
      <c r="A4" s="96" t="s">
        <v>52</v>
      </c>
      <c r="B4" s="199" t="s">
        <v>53</v>
      </c>
      <c r="C4" s="295"/>
      <c r="D4" s="295"/>
      <c r="E4" s="196" t="s">
        <v>85</v>
      </c>
      <c r="F4" s="196" t="s">
        <v>86</v>
      </c>
      <c r="G4" s="196" t="s">
        <v>87</v>
      </c>
      <c r="H4" s="196" t="s">
        <v>55</v>
      </c>
      <c r="I4" s="196" t="s">
        <v>88</v>
      </c>
      <c r="J4" s="196" t="s">
        <v>88</v>
      </c>
    </row>
    <row r="5" spans="1:10" ht="14.45" customHeight="1" x14ac:dyDescent="0.3">
      <c r="A5" s="200" t="str">
        <f>MAT!A6</f>
        <v>001</v>
      </c>
      <c r="B5" s="201" t="str">
        <f>VLOOKUP(A5,MAT!A:H,2,0)</f>
        <v>Cemento Portland a granel</v>
      </c>
      <c r="C5" s="201" t="str">
        <f>VLOOKUP(A5,MAT!A:H,3,0)</f>
        <v>tn</v>
      </c>
      <c r="D5" s="201" t="str">
        <f>VLOOKUP(A5,MAT!A:H,4,0)</f>
        <v>Olavarría</v>
      </c>
      <c r="E5" s="180">
        <v>350</v>
      </c>
      <c r="F5" s="203">
        <v>20</v>
      </c>
      <c r="G5" s="203">
        <f>F16*E5</f>
        <v>6300</v>
      </c>
      <c r="H5" s="202">
        <v>0.02</v>
      </c>
      <c r="I5" s="203">
        <f>H5*G5</f>
        <v>126</v>
      </c>
      <c r="J5" s="203">
        <f>G5+I5</f>
        <v>6426</v>
      </c>
    </row>
    <row r="6" spans="1:10" ht="14.45" customHeight="1" x14ac:dyDescent="0.3">
      <c r="A6" s="200" t="str">
        <f>MAT!A7</f>
        <v>002</v>
      </c>
      <c r="B6" s="201" t="str">
        <f>VLOOKUP(A6,MAT!A:H,2,0)</f>
        <v>Piedra Triturada 10/30</v>
      </c>
      <c r="C6" s="201" t="str">
        <f>VLOOKUP(A6,MAT!A:H,3,0)</f>
        <v>tn</v>
      </c>
      <c r="D6" s="201" t="str">
        <f>VLOOKUP(A6,MAT!A:H,4,0)</f>
        <v>Tandil</v>
      </c>
      <c r="E6" s="180">
        <v>350</v>
      </c>
      <c r="F6" s="203">
        <v>20</v>
      </c>
      <c r="G6" s="203">
        <f t="shared" ref="G6:G35" si="0">F6*E6</f>
        <v>7000</v>
      </c>
      <c r="H6" s="202">
        <v>0.02</v>
      </c>
      <c r="I6" s="203">
        <f t="shared" ref="I6:I35" si="1">H6*G6</f>
        <v>140</v>
      </c>
      <c r="J6" s="203">
        <f t="shared" ref="J6:J31" si="2">G6+I6</f>
        <v>7140</v>
      </c>
    </row>
    <row r="7" spans="1:10" ht="14.45" x14ac:dyDescent="0.3">
      <c r="A7" s="200" t="str">
        <f>MAT!A8</f>
        <v>003</v>
      </c>
      <c r="B7" s="201" t="str">
        <f>VLOOKUP(A7,MAT!A:H,2,0)</f>
        <v>Arena Silicea</v>
      </c>
      <c r="C7" s="201" t="str">
        <f>VLOOKUP(A7,MAT!A:H,3,0)</f>
        <v>tn</v>
      </c>
      <c r="D7" s="201" t="str">
        <f>VLOOKUP(A7,MAT!A:H,4,0)</f>
        <v>GBA</v>
      </c>
      <c r="E7" s="180">
        <v>20</v>
      </c>
      <c r="F7" s="203">
        <v>78</v>
      </c>
      <c r="G7" s="203">
        <f t="shared" si="0"/>
        <v>1560</v>
      </c>
      <c r="H7" s="202">
        <v>0.02</v>
      </c>
      <c r="I7" s="203">
        <f t="shared" si="1"/>
        <v>31.2</v>
      </c>
      <c r="J7" s="203">
        <f t="shared" si="2"/>
        <v>1591.2</v>
      </c>
    </row>
    <row r="8" spans="1:10" ht="14.45" x14ac:dyDescent="0.3">
      <c r="A8" s="200" t="str">
        <f>MAT!A9</f>
        <v>004</v>
      </c>
      <c r="B8" s="201" t="str">
        <f>VLOOKUP(A8,MAT!A:H,2,0)</f>
        <v>Film de polietileno 200mic (rollo de 50x2m)</v>
      </c>
      <c r="C8" s="201" t="str">
        <f>VLOOKUP(A8,MAT!A:H,3,0)</f>
        <v>Unidad</v>
      </c>
      <c r="D8" s="201" t="str">
        <f>VLOOKUP(A8,MAT!A:H,4,0)</f>
        <v>GBA</v>
      </c>
      <c r="E8" s="200">
        <v>0</v>
      </c>
      <c r="F8" s="203"/>
      <c r="G8" s="203">
        <f t="shared" si="0"/>
        <v>0</v>
      </c>
      <c r="H8" s="202">
        <v>0</v>
      </c>
      <c r="I8" s="203">
        <f t="shared" si="1"/>
        <v>0</v>
      </c>
      <c r="J8" s="203">
        <f t="shared" si="2"/>
        <v>0</v>
      </c>
    </row>
    <row r="9" spans="1:10" ht="14.45" x14ac:dyDescent="0.3">
      <c r="A9" s="200" t="str">
        <f>MAT!A10</f>
        <v>005</v>
      </c>
      <c r="B9" s="201" t="str">
        <f>VLOOKUP(A9,MAT!A:H,2,0)</f>
        <v>Barra Nervada de 10 mm</v>
      </c>
      <c r="C9" s="201" t="str">
        <f>VLOOKUP(A9,MAT!A:H,3,0)</f>
        <v>tn</v>
      </c>
      <c r="D9" s="201" t="str">
        <f>VLOOKUP(A9,MAT!A:H,4,0)</f>
        <v>GBA</v>
      </c>
      <c r="E9" s="200">
        <v>0</v>
      </c>
      <c r="F9" s="203"/>
      <c r="G9" s="203">
        <f t="shared" si="0"/>
        <v>0</v>
      </c>
      <c r="H9" s="202">
        <v>0</v>
      </c>
      <c r="I9" s="203">
        <f t="shared" si="1"/>
        <v>0</v>
      </c>
      <c r="J9" s="203">
        <f t="shared" si="2"/>
        <v>0</v>
      </c>
    </row>
    <row r="10" spans="1:10" ht="14.45" x14ac:dyDescent="0.3">
      <c r="A10" s="200" t="str">
        <f>MAT!A11</f>
        <v>006</v>
      </c>
      <c r="B10" s="201" t="str">
        <f>VLOOKUP(A10,MAT!A:H,2,0)</f>
        <v>Barra redonda lisa 20 mm</v>
      </c>
      <c r="C10" s="201" t="str">
        <f>VLOOKUP(A10,MAT!A:H,3,0)</f>
        <v>tn</v>
      </c>
      <c r="D10" s="201" t="str">
        <f>VLOOKUP(A10,MAT!A:H,4,0)</f>
        <v>GBA</v>
      </c>
      <c r="E10" s="200">
        <v>0</v>
      </c>
      <c r="F10" s="203"/>
      <c r="G10" s="203">
        <f t="shared" si="0"/>
        <v>0</v>
      </c>
      <c r="H10" s="202">
        <f>VLOOKUP(A10,MAT!A:H,6,0)</f>
        <v>0</v>
      </c>
      <c r="I10" s="203">
        <f t="shared" si="1"/>
        <v>0</v>
      </c>
      <c r="J10" s="203">
        <f t="shared" si="2"/>
        <v>0</v>
      </c>
    </row>
    <row r="11" spans="1:10" ht="14.45" x14ac:dyDescent="0.3">
      <c r="A11" s="200" t="str">
        <f>MAT!A12</f>
        <v>007</v>
      </c>
      <c r="B11" s="201" t="str">
        <f>VLOOKUP(A11,MAT!A:H,2,0)</f>
        <v>Arena fina</v>
      </c>
      <c r="C11" s="201" t="str">
        <f>VLOOKUP(A11,MAT!A:H,3,0)</f>
        <v>m3</v>
      </c>
      <c r="D11" s="201" t="str">
        <f>VLOOKUP(A11,MAT!A:H,4,0)</f>
        <v>GBA</v>
      </c>
      <c r="E11" s="200">
        <v>20</v>
      </c>
      <c r="F11" s="203">
        <f>F7</f>
        <v>78</v>
      </c>
      <c r="G11" s="203">
        <f t="shared" si="0"/>
        <v>1560</v>
      </c>
      <c r="H11" s="202">
        <f>VLOOKUP(A11,MAT!A:H,6,0)</f>
        <v>0.02</v>
      </c>
      <c r="I11" s="203">
        <f t="shared" si="1"/>
        <v>31.2</v>
      </c>
      <c r="J11" s="203">
        <f t="shared" si="2"/>
        <v>1591.2</v>
      </c>
    </row>
    <row r="12" spans="1:10" ht="14.45" x14ac:dyDescent="0.3">
      <c r="A12" s="200" t="str">
        <f>MAT!A13</f>
        <v>008</v>
      </c>
      <c r="B12" s="201" t="str">
        <f>VLOOKUP(A12,MAT!A:H,2,0)</f>
        <v>Liq. Curado base solvente</v>
      </c>
      <c r="C12" s="201" t="str">
        <f>VLOOKUP(A12,MAT!A:H,3,0)</f>
        <v>lt</v>
      </c>
      <c r="D12" s="201" t="str">
        <f>VLOOKUP(A12,MAT!A:H,4,0)</f>
        <v>GBA</v>
      </c>
      <c r="E12" s="200">
        <v>0</v>
      </c>
      <c r="F12" s="203"/>
      <c r="G12" s="203">
        <f t="shared" si="0"/>
        <v>0</v>
      </c>
      <c r="H12" s="202">
        <f>VLOOKUP(A12,MAT!A:H,6,0)</f>
        <v>0</v>
      </c>
      <c r="I12" s="203">
        <f t="shared" si="1"/>
        <v>0</v>
      </c>
      <c r="J12" s="203">
        <f t="shared" si="2"/>
        <v>0</v>
      </c>
    </row>
    <row r="13" spans="1:10" ht="14.45" x14ac:dyDescent="0.3">
      <c r="A13" s="200" t="str">
        <f>MAT!A14</f>
        <v>009</v>
      </c>
      <c r="B13" s="201" t="str">
        <f>VLOOKUP(A13,MAT!A:H,2,0)</f>
        <v>Barra Nervada 6 mm</v>
      </c>
      <c r="C13" s="201" t="str">
        <f>VLOOKUP(A13,MAT!A:H,3,0)</f>
        <v>tn</v>
      </c>
      <c r="D13" s="201" t="str">
        <f>VLOOKUP(A13,MAT!A:H,4,0)</f>
        <v>GBA</v>
      </c>
      <c r="E13" s="200">
        <v>0</v>
      </c>
      <c r="F13" s="203"/>
      <c r="G13" s="203">
        <f t="shared" si="0"/>
        <v>0</v>
      </c>
      <c r="H13" s="202">
        <f>VLOOKUP(A13,MAT!A:H,6,0)</f>
        <v>0</v>
      </c>
      <c r="I13" s="203">
        <f t="shared" si="1"/>
        <v>0</v>
      </c>
      <c r="J13" s="203">
        <f t="shared" si="2"/>
        <v>0</v>
      </c>
    </row>
    <row r="14" spans="1:10" ht="14.45" x14ac:dyDescent="0.3">
      <c r="A14" s="200" t="str">
        <f>MAT!A15</f>
        <v>010</v>
      </c>
      <c r="B14" s="201" t="str">
        <f>VLOOKUP(A14,MAT!A:H,2,0)</f>
        <v>Piedra Partida 0-6 mm</v>
      </c>
      <c r="C14" s="201" t="str">
        <f>VLOOKUP(A14,MAT!A:H,3,0)</f>
        <v>tn</v>
      </c>
      <c r="D14" s="201" t="str">
        <f>VLOOKUP(A14,MAT!A:H,4,0)</f>
        <v>Olavarría</v>
      </c>
      <c r="E14" s="200">
        <v>300</v>
      </c>
      <c r="F14" s="203">
        <v>20</v>
      </c>
      <c r="G14" s="203">
        <f t="shared" si="0"/>
        <v>6000</v>
      </c>
      <c r="H14" s="202">
        <f>VLOOKUP(A14,MAT!A:H,6,0)</f>
        <v>0.02</v>
      </c>
      <c r="I14" s="203">
        <f t="shared" si="1"/>
        <v>120</v>
      </c>
      <c r="J14" s="203">
        <f t="shared" si="2"/>
        <v>6120</v>
      </c>
    </row>
    <row r="15" spans="1:10" ht="14.45" x14ac:dyDescent="0.3">
      <c r="A15" s="200" t="str">
        <f>MAT!A16</f>
        <v>011</v>
      </c>
      <c r="B15" s="201" t="str">
        <f>VLOOKUP(A15,MAT!A:H,2,0)</f>
        <v>Piedra Partida 6-20 mm</v>
      </c>
      <c r="C15" s="201" t="str">
        <f>VLOOKUP(A15,MAT!A:H,3,0)</f>
        <v>tn</v>
      </c>
      <c r="D15" s="201" t="str">
        <f>VLOOKUP(A15,MAT!A:H,4,0)</f>
        <v>Olavarría</v>
      </c>
      <c r="E15" s="200">
        <v>300</v>
      </c>
      <c r="F15" s="203">
        <v>20</v>
      </c>
      <c r="G15" s="203">
        <f t="shared" si="0"/>
        <v>6000</v>
      </c>
      <c r="H15" s="202">
        <f>VLOOKUP(A15,MAT!A:H,6,0)</f>
        <v>0.02</v>
      </c>
      <c r="I15" s="203">
        <f t="shared" si="1"/>
        <v>120</v>
      </c>
      <c r="J15" s="203">
        <f t="shared" si="2"/>
        <v>6120</v>
      </c>
    </row>
    <row r="16" spans="1:10" ht="14.45" x14ac:dyDescent="0.3">
      <c r="A16" s="200" t="str">
        <f>MAT!A17</f>
        <v>012</v>
      </c>
      <c r="B16" s="201" t="str">
        <f>VLOOKUP(A16,MAT!A:H,2,0)</f>
        <v>Cal hidraulica hidratada, 65% CUV</v>
      </c>
      <c r="C16" s="201" t="str">
        <f>VLOOKUP(A16,MAT!A:H,3,0)</f>
        <v>tn</v>
      </c>
      <c r="D16" s="201" t="str">
        <f>VLOOKUP(A16,MAT!A:H,4,0)</f>
        <v>Olavarría</v>
      </c>
      <c r="E16" s="200">
        <v>350</v>
      </c>
      <c r="F16" s="203">
        <v>18</v>
      </c>
      <c r="G16" s="203">
        <f t="shared" si="0"/>
        <v>6300</v>
      </c>
      <c r="H16" s="202">
        <f>VLOOKUP(A16,MAT!A:H,6,0)</f>
        <v>0.02</v>
      </c>
      <c r="I16" s="203">
        <f t="shared" si="1"/>
        <v>126</v>
      </c>
      <c r="J16" s="203">
        <f t="shared" si="2"/>
        <v>6426</v>
      </c>
    </row>
    <row r="17" spans="1:10" ht="14.45" x14ac:dyDescent="0.3">
      <c r="A17" s="200" t="str">
        <f>MAT!A18</f>
        <v>013</v>
      </c>
      <c r="B17" s="201" t="str">
        <f>VLOOKUP(A17,MAT!A:H,2,0)</f>
        <v>Cemento Asfáltico CA30</v>
      </c>
      <c r="C17" s="201" t="str">
        <f>VLOOKUP(A17,MAT!A:H,3,0)</f>
        <v>tn</v>
      </c>
      <c r="D17" s="201" t="str">
        <f>VLOOKUP(A17,MAT!A:H,4,0)</f>
        <v>GBA</v>
      </c>
      <c r="E17" s="200">
        <v>20</v>
      </c>
      <c r="F17" s="203">
        <v>60</v>
      </c>
      <c r="G17" s="203">
        <f t="shared" si="0"/>
        <v>1200</v>
      </c>
      <c r="H17" s="202">
        <f>VLOOKUP(A17,MAT!A:H,6,0)</f>
        <v>0.01</v>
      </c>
      <c r="I17" s="203">
        <f t="shared" si="1"/>
        <v>12</v>
      </c>
      <c r="J17" s="203">
        <f t="shared" si="2"/>
        <v>1212</v>
      </c>
    </row>
    <row r="18" spans="1:10" ht="14.45" x14ac:dyDescent="0.3">
      <c r="A18" s="200" t="str">
        <f>MAT!A19</f>
        <v>014</v>
      </c>
      <c r="B18" s="201" t="str">
        <f>VLOOKUP(A18,MAT!A:H,2,0)</f>
        <v>Emulsión asfáltica p/imprimación</v>
      </c>
      <c r="C18" s="201" t="str">
        <f>VLOOKUP(A18,MAT!A:H,3,0)</f>
        <v>tn</v>
      </c>
      <c r="D18" s="201" t="str">
        <f>VLOOKUP(A18,MAT!A:H,4,0)</f>
        <v>GBA</v>
      </c>
      <c r="E18" s="200">
        <v>20</v>
      </c>
      <c r="F18" s="203">
        <v>60</v>
      </c>
      <c r="G18" s="203">
        <f t="shared" si="0"/>
        <v>1200</v>
      </c>
      <c r="H18" s="202">
        <f>VLOOKUP(A18,MAT!A:H,6,0)</f>
        <v>0</v>
      </c>
      <c r="I18" s="203">
        <f t="shared" si="1"/>
        <v>0</v>
      </c>
      <c r="J18" s="203">
        <f t="shared" si="2"/>
        <v>1200</v>
      </c>
    </row>
    <row r="19" spans="1:10" ht="14.45" x14ac:dyDescent="0.3">
      <c r="A19" s="200" t="str">
        <f>MAT!A20</f>
        <v>015</v>
      </c>
      <c r="B19" s="201" t="str">
        <f>VLOOKUP(A19,MAT!A:H,2,0)</f>
        <v>Suelo seleccionado (para terraplén)</v>
      </c>
      <c r="C19" s="201" t="str">
        <f>VLOOKUP(A19,MAT!A:H,3,0)</f>
        <v>m3</v>
      </c>
      <c r="D19" s="201" t="str">
        <f>VLOOKUP(A19,MAT!A:H,4,0)</f>
        <v>Cantera</v>
      </c>
      <c r="E19" s="200">
        <v>20</v>
      </c>
      <c r="F19" s="203">
        <v>45</v>
      </c>
      <c r="G19" s="203">
        <f t="shared" si="0"/>
        <v>900</v>
      </c>
      <c r="H19" s="202">
        <f>VLOOKUP(A19,MAT!A:H,6,0)</f>
        <v>0.02</v>
      </c>
      <c r="I19" s="203">
        <f t="shared" si="1"/>
        <v>18</v>
      </c>
      <c r="J19" s="203">
        <f t="shared" si="2"/>
        <v>918</v>
      </c>
    </row>
    <row r="20" spans="1:10" ht="14.45" x14ac:dyDescent="0.3">
      <c r="A20" s="200" t="str">
        <f>MAT!A21</f>
        <v>016</v>
      </c>
      <c r="B20" s="201" t="str">
        <f>VLOOKUP(A20,MAT!A:H,2,0)</f>
        <v>Suelo seleccionado</v>
      </c>
      <c r="C20" s="201" t="str">
        <f>VLOOKUP(A20,MAT!A:H,3,0)</f>
        <v>m3</v>
      </c>
      <c r="D20" s="201" t="str">
        <f>VLOOKUP(A20,MAT!A:H,4,0)</f>
        <v>Cantera</v>
      </c>
      <c r="E20" s="200">
        <v>20</v>
      </c>
      <c r="F20" s="203">
        <v>45</v>
      </c>
      <c r="G20" s="203">
        <f t="shared" si="0"/>
        <v>900</v>
      </c>
      <c r="H20" s="202">
        <f>VLOOKUP(A20,MAT!A:H,6,0)</f>
        <v>0.02</v>
      </c>
      <c r="I20" s="203">
        <f t="shared" si="1"/>
        <v>18</v>
      </c>
      <c r="J20" s="203">
        <f t="shared" si="2"/>
        <v>918</v>
      </c>
    </row>
    <row r="21" spans="1:10" ht="14.45" x14ac:dyDescent="0.3">
      <c r="A21" s="200" t="str">
        <f>MAT!A22</f>
        <v>017</v>
      </c>
      <c r="B21" s="201" t="str">
        <f>VLOOKUP(A21,MAT!A:H,2,0)</f>
        <v>Asfalto AM3</v>
      </c>
      <c r="C21" s="201" t="str">
        <f>VLOOKUP(A21,MAT!A:H,3,0)</f>
        <v>tn</v>
      </c>
      <c r="D21" s="201" t="str">
        <f>VLOOKUP(A21,MAT!A:H,4,0)</f>
        <v>GBA</v>
      </c>
      <c r="E21" s="200">
        <v>10</v>
      </c>
      <c r="F21" s="203">
        <v>60</v>
      </c>
      <c r="G21" s="203">
        <f t="shared" si="0"/>
        <v>600</v>
      </c>
      <c r="H21" s="202">
        <f>VLOOKUP(A21,MAT!A:H,6,0)</f>
        <v>0</v>
      </c>
      <c r="I21" s="203">
        <f t="shared" si="1"/>
        <v>0</v>
      </c>
      <c r="J21" s="203">
        <f t="shared" si="2"/>
        <v>600</v>
      </c>
    </row>
    <row r="22" spans="1:10" ht="14.45" x14ac:dyDescent="0.3">
      <c r="A22" s="200" t="str">
        <f>MAT!A23</f>
        <v>018</v>
      </c>
      <c r="B22" s="201" t="str">
        <f>VLOOKUP(A22,MAT!A:H,2,0)</f>
        <v>Asfalto AM3</v>
      </c>
      <c r="C22" s="201" t="str">
        <f>VLOOKUP(A22,MAT!A:H,3,0)</f>
        <v>tn</v>
      </c>
      <c r="D22" s="201" t="str">
        <f>VLOOKUP(A22,MAT!A:H,4,0)</f>
        <v>GBA</v>
      </c>
      <c r="E22" s="200">
        <v>10</v>
      </c>
      <c r="F22" s="203">
        <v>60</v>
      </c>
      <c r="G22" s="203">
        <f t="shared" si="0"/>
        <v>600</v>
      </c>
      <c r="H22" s="202">
        <f>VLOOKUP(A22,MAT!A:H,6,0)</f>
        <v>0</v>
      </c>
      <c r="I22" s="203">
        <f t="shared" si="1"/>
        <v>0</v>
      </c>
      <c r="J22" s="203">
        <f t="shared" si="2"/>
        <v>600</v>
      </c>
    </row>
    <row r="23" spans="1:10" x14ac:dyDescent="0.25">
      <c r="A23" s="200" t="str">
        <f>MAT!A24</f>
        <v>019</v>
      </c>
      <c r="B23" s="201" t="str">
        <f>VLOOKUP(A23,MAT!A:H,2,0)</f>
        <v>Gasoil</v>
      </c>
      <c r="C23" s="201" t="str">
        <f>VLOOKUP(A23,MAT!A:H,3,0)</f>
        <v>lt</v>
      </c>
      <c r="D23" s="201" t="str">
        <f>VLOOKUP(A23,MAT!A:H,4,0)</f>
        <v>GBA</v>
      </c>
      <c r="E23" s="200">
        <v>0</v>
      </c>
      <c r="F23" s="203"/>
      <c r="G23" s="203">
        <f t="shared" si="0"/>
        <v>0</v>
      </c>
      <c r="H23" s="202">
        <f>VLOOKUP(A23,MAT!A:H,6,0)</f>
        <v>0</v>
      </c>
      <c r="I23" s="203">
        <f t="shared" si="1"/>
        <v>0</v>
      </c>
      <c r="J23" s="203">
        <f t="shared" si="2"/>
        <v>0</v>
      </c>
    </row>
    <row r="24" spans="1:10" x14ac:dyDescent="0.25">
      <c r="A24" s="200" t="str">
        <f>MAT!A25</f>
        <v>020</v>
      </c>
      <c r="B24" s="201" t="str">
        <f>VLOOKUP(A24,MAT!A:H,2,0)</f>
        <v>Mezcla estabilizado granular</v>
      </c>
      <c r="C24" s="201" t="str">
        <f>VLOOKUP(A24,MAT!A:H,3,0)</f>
        <v>m3</v>
      </c>
      <c r="D24" s="201" t="str">
        <f>VLOOKUP(A24,MAT!A:H,4,0)</f>
        <v>GBA</v>
      </c>
      <c r="E24" s="200">
        <v>10</v>
      </c>
      <c r="F24" s="203">
        <v>15</v>
      </c>
      <c r="G24" s="203">
        <f t="shared" si="0"/>
        <v>150</v>
      </c>
      <c r="H24" s="202">
        <f>VLOOKUP(A24,MAT!A:H,6,0)</f>
        <v>0</v>
      </c>
      <c r="I24" s="203">
        <f t="shared" si="1"/>
        <v>0</v>
      </c>
      <c r="J24" s="203">
        <f t="shared" si="2"/>
        <v>150</v>
      </c>
    </row>
    <row r="25" spans="1:10" x14ac:dyDescent="0.25">
      <c r="A25" s="200" t="str">
        <f>MAT!A26</f>
        <v>021</v>
      </c>
      <c r="B25" s="201" t="str">
        <f>VLOOKUP(A25,MAT!A:H,2,0)</f>
        <v>Hº ELABORADO H-13</v>
      </c>
      <c r="C25" s="201" t="str">
        <f>VLOOKUP(A25,MAT!A:H,3,0)</f>
        <v>m3</v>
      </c>
      <c r="D25" s="201" t="str">
        <f>VLOOKUP(A25,MAT!A:H,4,0)</f>
        <v>GBA</v>
      </c>
      <c r="E25" s="200">
        <v>20</v>
      </c>
      <c r="F25" s="203">
        <v>40</v>
      </c>
      <c r="G25" s="203">
        <f t="shared" si="0"/>
        <v>800</v>
      </c>
      <c r="H25" s="202">
        <f>VLOOKUP(A25,MAT!A:H,6,0)</f>
        <v>0</v>
      </c>
      <c r="I25" s="203">
        <f t="shared" si="1"/>
        <v>0</v>
      </c>
      <c r="J25" s="203">
        <f t="shared" si="2"/>
        <v>800</v>
      </c>
    </row>
    <row r="26" spans="1:10" x14ac:dyDescent="0.25">
      <c r="A26" s="200" t="str">
        <f>MAT!A27</f>
        <v>022</v>
      </c>
      <c r="B26" s="201" t="str">
        <f>VLOOKUP(A26,MAT!A:H,2,0)</f>
        <v>Hº ELABORADO H-30</v>
      </c>
      <c r="C26" s="201" t="str">
        <f>VLOOKUP(A26,MAT!A:H,3,0)</f>
        <v>m3</v>
      </c>
      <c r="D26" s="201" t="str">
        <f>VLOOKUP(A26,MAT!A:H,4,0)</f>
        <v>GBA</v>
      </c>
      <c r="E26" s="200">
        <v>20</v>
      </c>
      <c r="F26" s="203">
        <v>40</v>
      </c>
      <c r="G26" s="203">
        <f t="shared" si="0"/>
        <v>800</v>
      </c>
      <c r="H26" s="202">
        <f>VLOOKUP(A26,MAT!A:H,6,0)</f>
        <v>0</v>
      </c>
      <c r="I26" s="203">
        <f t="shared" si="1"/>
        <v>0</v>
      </c>
      <c r="J26" s="203">
        <f t="shared" si="2"/>
        <v>800</v>
      </c>
    </row>
    <row r="27" spans="1:10" x14ac:dyDescent="0.25">
      <c r="A27" s="200" t="str">
        <f>MAT!A28</f>
        <v>023</v>
      </c>
      <c r="B27" s="201" t="str">
        <f>VLOOKUP(A27,MAT!A:H,2,0)</f>
        <v>Hº ELABORADO H-17</v>
      </c>
      <c r="C27" s="201" t="str">
        <f>VLOOKUP(A27,MAT!A:H,3,0)</f>
        <v>m3</v>
      </c>
      <c r="D27" s="201" t="str">
        <f>VLOOKUP(A27,MAT!A:H,4,0)</f>
        <v>GBA</v>
      </c>
      <c r="E27" s="200">
        <v>20</v>
      </c>
      <c r="F27" s="203">
        <v>40</v>
      </c>
      <c r="G27" s="203">
        <f t="shared" si="0"/>
        <v>800</v>
      </c>
      <c r="H27" s="202">
        <f>VLOOKUP(A27,MAT!A:H,6,0)</f>
        <v>0</v>
      </c>
      <c r="I27" s="203">
        <f t="shared" si="1"/>
        <v>0</v>
      </c>
      <c r="J27" s="203">
        <f t="shared" si="2"/>
        <v>800</v>
      </c>
    </row>
    <row r="28" spans="1:10" x14ac:dyDescent="0.25">
      <c r="A28" s="200" t="str">
        <f>MAT!A29</f>
        <v>024</v>
      </c>
      <c r="B28" s="201" t="str">
        <f>VLOOKUP(A28,MAT!A:H,2,0)</f>
        <v>Ripio calcáreo 0-20 mm</v>
      </c>
      <c r="C28" s="201" t="str">
        <f>VLOOKUP(A28,MAT!A:H,3,0)</f>
        <v>m3</v>
      </c>
      <c r="D28" s="201" t="str">
        <f>VLOOKUP(A28,MAT!A:H,4,0)</f>
        <v>GBA</v>
      </c>
      <c r="E28" s="200">
        <v>20</v>
      </c>
      <c r="F28" s="203">
        <v>20</v>
      </c>
      <c r="G28" s="203">
        <f t="shared" si="0"/>
        <v>400</v>
      </c>
      <c r="H28" s="202">
        <f>VLOOKUP(A28,MAT!A:H,6,0)</f>
        <v>0.02</v>
      </c>
      <c r="I28" s="203">
        <f t="shared" si="1"/>
        <v>8</v>
      </c>
      <c r="J28" s="203">
        <f t="shared" si="2"/>
        <v>408</v>
      </c>
    </row>
    <row r="29" spans="1:10" x14ac:dyDescent="0.25">
      <c r="A29" s="200" t="str">
        <f>MAT!A30</f>
        <v>025</v>
      </c>
      <c r="B29" s="201" t="str">
        <f>VLOOKUP(A29,MAT!A:H,2,0)</f>
        <v>Emulsión asfáltica p/riego de liga</v>
      </c>
      <c r="C29" s="201" t="str">
        <f>VLOOKUP(A29,MAT!A:H,3,0)</f>
        <v>m2</v>
      </c>
      <c r="D29" s="201" t="str">
        <f>VLOOKUP(A29,MAT!A:H,4,0)</f>
        <v>GBA</v>
      </c>
      <c r="E29" s="200">
        <v>10</v>
      </c>
      <c r="F29" s="203"/>
      <c r="G29" s="203">
        <f t="shared" si="0"/>
        <v>0</v>
      </c>
      <c r="H29" s="202">
        <f>VLOOKUP(A29,MAT!A:H,6,0)</f>
        <v>0</v>
      </c>
      <c r="I29" s="203">
        <f t="shared" si="1"/>
        <v>0</v>
      </c>
      <c r="J29" s="203">
        <f t="shared" si="2"/>
        <v>0</v>
      </c>
    </row>
    <row r="30" spans="1:10" x14ac:dyDescent="0.25">
      <c r="A30" s="200" t="str">
        <f>MAT!A31</f>
        <v>026</v>
      </c>
      <c r="B30" s="201" t="str">
        <f>VLOOKUP(A30,MAT!A:H,2,0)</f>
        <v>Fuel Oil</v>
      </c>
      <c r="C30" s="201" t="str">
        <f>VLOOKUP(A30,MAT!A:H,3,0)</f>
        <v>tn</v>
      </c>
      <c r="D30" s="201" t="str">
        <f>VLOOKUP(A30,MAT!A:H,4,0)</f>
        <v>GBA</v>
      </c>
      <c r="E30" s="200">
        <v>0</v>
      </c>
      <c r="F30" s="203"/>
      <c r="G30" s="203">
        <f t="shared" si="0"/>
        <v>0</v>
      </c>
      <c r="H30" s="202">
        <f>VLOOKUP(A30,MAT!A:H,6,0)</f>
        <v>0</v>
      </c>
      <c r="I30" s="203">
        <f t="shared" si="1"/>
        <v>0</v>
      </c>
      <c r="J30" s="203">
        <f t="shared" si="2"/>
        <v>0</v>
      </c>
    </row>
    <row r="31" spans="1:10" x14ac:dyDescent="0.25">
      <c r="A31" s="200" t="str">
        <f>MAT!A32</f>
        <v>027</v>
      </c>
      <c r="B31" s="201">
        <f>VLOOKUP(A31,MAT!A:H,2,0)</f>
        <v>0</v>
      </c>
      <c r="C31" s="201">
        <f>VLOOKUP(A31,MAT!A:H,3,0)</f>
        <v>0</v>
      </c>
      <c r="D31" s="201">
        <f>VLOOKUP(A31,MAT!A:H,4,0)</f>
        <v>0</v>
      </c>
      <c r="E31" s="200"/>
      <c r="F31" s="203"/>
      <c r="G31" s="203">
        <f t="shared" si="0"/>
        <v>0</v>
      </c>
      <c r="H31" s="202">
        <f>VLOOKUP(A31,MAT!A:H,6,0)</f>
        <v>0</v>
      </c>
      <c r="I31" s="203">
        <f t="shared" si="1"/>
        <v>0</v>
      </c>
      <c r="J31" s="203">
        <f t="shared" si="2"/>
        <v>0</v>
      </c>
    </row>
    <row r="32" spans="1:10" x14ac:dyDescent="0.25">
      <c r="A32" s="200">
        <f>MAT!A33</f>
        <v>0</v>
      </c>
      <c r="B32" s="201" t="e">
        <f>VLOOKUP(A32,MAT!A:H,2,0)</f>
        <v>#N/A</v>
      </c>
      <c r="C32" s="201" t="e">
        <f>VLOOKUP(A32,MAT!A:H,3,0)</f>
        <v>#N/A</v>
      </c>
      <c r="D32" s="201" t="e">
        <f>VLOOKUP(A32,MAT!A:H,4,0)</f>
        <v>#N/A</v>
      </c>
      <c r="E32" s="200"/>
      <c r="F32" s="203"/>
      <c r="G32" s="203">
        <f t="shared" si="0"/>
        <v>0</v>
      </c>
      <c r="H32" s="202" t="e">
        <f>VLOOKUP(A32,MAT!A:H,6,0)</f>
        <v>#N/A</v>
      </c>
      <c r="I32" s="203" t="e">
        <f t="shared" si="1"/>
        <v>#N/A</v>
      </c>
      <c r="J32" s="200"/>
    </row>
    <row r="33" spans="1:10" x14ac:dyDescent="0.25">
      <c r="A33" s="200">
        <f>MAT!A34</f>
        <v>0</v>
      </c>
      <c r="B33" s="201" t="e">
        <f>VLOOKUP(A33,MAT!A:H,2,0)</f>
        <v>#N/A</v>
      </c>
      <c r="C33" s="201" t="e">
        <f>VLOOKUP(A33,MAT!A:H,3,0)</f>
        <v>#N/A</v>
      </c>
      <c r="D33" s="201" t="e">
        <f>VLOOKUP(A33,MAT!A:H,4,0)</f>
        <v>#N/A</v>
      </c>
      <c r="E33" s="200"/>
      <c r="F33" s="203"/>
      <c r="G33" s="203">
        <f t="shared" si="0"/>
        <v>0</v>
      </c>
      <c r="H33" s="202" t="e">
        <f>VLOOKUP(A33,MAT!A:H,6,0)</f>
        <v>#N/A</v>
      </c>
      <c r="I33" s="203" t="e">
        <f t="shared" si="1"/>
        <v>#N/A</v>
      </c>
      <c r="J33" s="200"/>
    </row>
    <row r="34" spans="1:10" x14ac:dyDescent="0.25">
      <c r="A34" s="200">
        <f>MAT!A35</f>
        <v>0</v>
      </c>
      <c r="B34" s="201" t="e">
        <f>VLOOKUP(A34,MAT!A:H,2,0)</f>
        <v>#N/A</v>
      </c>
      <c r="C34" s="201" t="e">
        <f>VLOOKUP(A34,MAT!A:H,3,0)</f>
        <v>#N/A</v>
      </c>
      <c r="D34" s="201" t="e">
        <f>VLOOKUP(A34,MAT!A:H,4,0)</f>
        <v>#N/A</v>
      </c>
      <c r="E34" s="200"/>
      <c r="F34" s="203"/>
      <c r="G34" s="203">
        <f t="shared" si="0"/>
        <v>0</v>
      </c>
      <c r="H34" s="202" t="e">
        <f>VLOOKUP(A34,MAT!A:H,6,0)</f>
        <v>#N/A</v>
      </c>
      <c r="I34" s="203" t="e">
        <f t="shared" si="1"/>
        <v>#N/A</v>
      </c>
      <c r="J34" s="200"/>
    </row>
    <row r="35" spans="1:10" x14ac:dyDescent="0.25">
      <c r="A35" s="200">
        <f>MAT!A36</f>
        <v>0</v>
      </c>
      <c r="B35" s="201" t="e">
        <f>VLOOKUP(A35,MAT!A:H,2,0)</f>
        <v>#N/A</v>
      </c>
      <c r="C35" s="201" t="e">
        <f>VLOOKUP(A35,MAT!A:H,3,0)</f>
        <v>#N/A</v>
      </c>
      <c r="D35" s="201" t="e">
        <f>VLOOKUP(A35,MAT!A:H,4,0)</f>
        <v>#N/A</v>
      </c>
      <c r="E35" s="200"/>
      <c r="F35" s="203"/>
      <c r="G35" s="203">
        <f t="shared" si="0"/>
        <v>0</v>
      </c>
      <c r="H35" s="202" t="e">
        <f>VLOOKUP(A35,MAT!A:H,6,0)</f>
        <v>#N/A</v>
      </c>
      <c r="I35" s="203" t="e">
        <f t="shared" si="1"/>
        <v>#N/A</v>
      </c>
      <c r="J35" s="200"/>
    </row>
  </sheetData>
  <mergeCells count="5">
    <mergeCell ref="A3:B3"/>
    <mergeCell ref="C3:C4"/>
    <mergeCell ref="D3:D4"/>
    <mergeCell ref="A1:J1"/>
    <mergeCell ref="A2:J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2"/>
  <dimension ref="A2:K19"/>
  <sheetViews>
    <sheetView zoomScale="68" workbookViewId="0">
      <selection activeCell="H5" sqref="H5:H8"/>
    </sheetView>
  </sheetViews>
  <sheetFormatPr baseColWidth="10" defaultRowHeight="15" x14ac:dyDescent="0.25"/>
  <cols>
    <col min="1" max="1" width="22.5703125" customWidth="1"/>
    <col min="3" max="3" width="51.28515625" customWidth="1"/>
    <col min="4" max="4" width="53.5703125" customWidth="1"/>
    <col min="5" max="5" width="30.85546875" customWidth="1"/>
    <col min="6" max="6" width="27.5703125" customWidth="1"/>
    <col min="7" max="7" width="16.85546875" customWidth="1"/>
    <col min="8" max="8" width="12.42578125" customWidth="1"/>
    <col min="9" max="9" width="23.85546875" customWidth="1"/>
  </cols>
  <sheetData>
    <row r="2" spans="1:11" ht="14.45" x14ac:dyDescent="0.3">
      <c r="A2" s="176" t="s">
        <v>224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25.15" customHeight="1" x14ac:dyDescent="0.25">
      <c r="A3" s="175" t="s">
        <v>223</v>
      </c>
      <c r="B3" s="176"/>
      <c r="C3" s="178" t="s">
        <v>223</v>
      </c>
      <c r="D3" s="178" t="s">
        <v>225</v>
      </c>
      <c r="E3" s="176" t="s">
        <v>226</v>
      </c>
      <c r="F3" s="176" t="s">
        <v>227</v>
      </c>
      <c r="G3" s="176" t="s">
        <v>228</v>
      </c>
      <c r="H3" s="176" t="s">
        <v>229</v>
      </c>
      <c r="I3" s="176" t="s">
        <v>230</v>
      </c>
      <c r="J3" s="176"/>
      <c r="K3" s="176"/>
    </row>
    <row r="4" spans="1:11" ht="89.25" x14ac:dyDescent="0.25">
      <c r="A4" s="175" t="s">
        <v>225</v>
      </c>
      <c r="B4" s="176"/>
      <c r="C4" s="177" t="s">
        <v>237</v>
      </c>
      <c r="D4" s="177" t="s">
        <v>125</v>
      </c>
      <c r="E4" s="1" t="s">
        <v>128</v>
      </c>
      <c r="F4" s="1" t="s">
        <v>252</v>
      </c>
      <c r="G4" s="1" t="s">
        <v>146</v>
      </c>
      <c r="H4" s="2" t="s">
        <v>195</v>
      </c>
      <c r="I4" s="176" t="s">
        <v>231</v>
      </c>
      <c r="J4" s="176"/>
      <c r="K4" s="176"/>
    </row>
    <row r="5" spans="1:11" ht="25.5" x14ac:dyDescent="0.25">
      <c r="A5" s="176" t="s">
        <v>226</v>
      </c>
      <c r="B5" s="176"/>
      <c r="C5" s="177" t="s">
        <v>160</v>
      </c>
      <c r="D5" s="177" t="s">
        <v>127</v>
      </c>
      <c r="E5" s="1" t="s">
        <v>129</v>
      </c>
      <c r="F5" s="1" t="s">
        <v>253</v>
      </c>
      <c r="G5" s="1" t="s">
        <v>150</v>
      </c>
      <c r="H5" s="263" t="s">
        <v>263</v>
      </c>
      <c r="I5" s="176"/>
      <c r="J5" s="176"/>
      <c r="K5" s="176"/>
    </row>
    <row r="6" spans="1:11" ht="51" x14ac:dyDescent="0.25">
      <c r="A6" s="176" t="s">
        <v>227</v>
      </c>
      <c r="B6" s="176"/>
      <c r="C6" s="177" t="s">
        <v>162</v>
      </c>
      <c r="D6" s="177" t="s">
        <v>182</v>
      </c>
      <c r="E6" s="2" t="s">
        <v>130</v>
      </c>
      <c r="F6" s="1" t="s">
        <v>249</v>
      </c>
      <c r="G6" s="1" t="s">
        <v>151</v>
      </c>
      <c r="H6" s="263" t="s">
        <v>265</v>
      </c>
      <c r="I6" s="176"/>
      <c r="J6" s="176"/>
      <c r="K6" s="176"/>
    </row>
    <row r="7" spans="1:11" ht="38.25" x14ac:dyDescent="0.25">
      <c r="A7" s="176" t="s">
        <v>228</v>
      </c>
      <c r="B7" s="176"/>
      <c r="C7" s="177" t="s">
        <v>161</v>
      </c>
      <c r="D7" s="177" t="s">
        <v>181</v>
      </c>
      <c r="E7" s="176"/>
      <c r="F7" s="2" t="s">
        <v>251</v>
      </c>
      <c r="G7" s="1" t="s">
        <v>152</v>
      </c>
      <c r="H7" s="270" t="s">
        <v>273</v>
      </c>
      <c r="I7" s="176"/>
      <c r="J7" s="176"/>
      <c r="K7" s="176"/>
    </row>
    <row r="8" spans="1:11" ht="38.25" x14ac:dyDescent="0.25">
      <c r="A8" s="176" t="s">
        <v>229</v>
      </c>
      <c r="B8" s="176"/>
      <c r="C8" s="177" t="s">
        <v>6</v>
      </c>
      <c r="D8" s="177" t="s">
        <v>179</v>
      </c>
      <c r="E8" s="176"/>
      <c r="F8" s="2" t="s">
        <v>250</v>
      </c>
      <c r="G8" s="1" t="s">
        <v>174</v>
      </c>
      <c r="H8" s="263" t="s">
        <v>274</v>
      </c>
      <c r="I8" s="176"/>
      <c r="J8" s="176"/>
      <c r="K8" s="176"/>
    </row>
    <row r="9" spans="1:11" ht="38.25" x14ac:dyDescent="0.25">
      <c r="A9" s="176" t="s">
        <v>230</v>
      </c>
      <c r="B9" s="176"/>
      <c r="C9" s="177" t="s">
        <v>166</v>
      </c>
      <c r="D9" s="177" t="s">
        <v>180</v>
      </c>
      <c r="E9" s="176"/>
      <c r="F9" s="176"/>
      <c r="G9" s="1" t="s">
        <v>175</v>
      </c>
      <c r="H9" s="176"/>
      <c r="I9" s="176"/>
      <c r="J9" s="176"/>
      <c r="K9" s="176"/>
    </row>
    <row r="10" spans="1:11" ht="38.25" x14ac:dyDescent="0.25">
      <c r="A10" s="176"/>
      <c r="B10" s="176"/>
      <c r="C10" s="179" t="s">
        <v>170</v>
      </c>
      <c r="D10" s="177" t="s">
        <v>236</v>
      </c>
      <c r="E10" s="176"/>
      <c r="F10" s="176"/>
      <c r="G10" s="2" t="s">
        <v>176</v>
      </c>
      <c r="H10" s="176"/>
      <c r="I10" s="176"/>
      <c r="J10" s="176"/>
      <c r="K10" s="176"/>
    </row>
    <row r="11" spans="1:11" x14ac:dyDescent="0.25">
      <c r="A11" s="176"/>
      <c r="B11" s="176"/>
      <c r="C11" s="256" t="s">
        <v>259</v>
      </c>
      <c r="D11" s="177" t="s">
        <v>235</v>
      </c>
      <c r="E11" s="176"/>
      <c r="F11" s="176"/>
      <c r="G11" s="176"/>
      <c r="H11" s="176"/>
      <c r="I11" s="176"/>
      <c r="J11" s="176"/>
      <c r="K11" s="176"/>
    </row>
    <row r="12" spans="1:11" x14ac:dyDescent="0.25">
      <c r="A12" s="176"/>
      <c r="B12" s="176"/>
      <c r="C12" s="258"/>
      <c r="D12" s="177" t="s">
        <v>234</v>
      </c>
      <c r="E12" s="176"/>
      <c r="F12" s="176"/>
      <c r="G12" s="176"/>
      <c r="H12" s="176"/>
      <c r="I12" s="176"/>
      <c r="J12" s="176"/>
      <c r="K12" s="176"/>
    </row>
    <row r="13" spans="1:11" ht="14.45" x14ac:dyDescent="0.3">
      <c r="A13" s="176"/>
      <c r="B13" s="176"/>
      <c r="C13" s="258"/>
      <c r="D13" s="177" t="s">
        <v>140</v>
      </c>
      <c r="E13" s="176"/>
      <c r="F13" s="176"/>
      <c r="G13" s="176"/>
      <c r="H13" s="176"/>
      <c r="I13" s="176"/>
      <c r="J13" s="176"/>
      <c r="K13" s="176"/>
    </row>
    <row r="14" spans="1:11" ht="14.45" x14ac:dyDescent="0.3">
      <c r="A14" s="176"/>
      <c r="B14" s="176"/>
      <c r="C14" s="258"/>
      <c r="D14" s="177" t="s">
        <v>142</v>
      </c>
      <c r="E14" s="176"/>
      <c r="F14" s="176"/>
      <c r="G14" s="176"/>
      <c r="H14" s="176"/>
      <c r="I14" s="176"/>
      <c r="J14" s="176"/>
      <c r="K14" s="176"/>
    </row>
    <row r="15" spans="1:11" ht="14.45" x14ac:dyDescent="0.3">
      <c r="A15" s="176"/>
      <c r="B15" s="176"/>
      <c r="C15" s="256"/>
      <c r="D15" s="177" t="s">
        <v>141</v>
      </c>
      <c r="E15" s="176"/>
      <c r="F15" s="176"/>
      <c r="G15" s="176"/>
      <c r="H15" s="176"/>
      <c r="I15" s="176"/>
      <c r="J15" s="176"/>
      <c r="K15" s="176"/>
    </row>
    <row r="16" spans="1:11" ht="14.45" x14ac:dyDescent="0.3">
      <c r="A16" s="176"/>
      <c r="B16" s="176"/>
      <c r="C16" s="176"/>
      <c r="D16" s="177" t="s">
        <v>158</v>
      </c>
      <c r="E16" s="176"/>
      <c r="F16" s="176"/>
      <c r="G16" s="176"/>
      <c r="H16" s="176"/>
      <c r="I16" s="176"/>
      <c r="J16" s="176"/>
      <c r="K16" s="176"/>
    </row>
    <row r="17" spans="1:11" ht="14.45" x14ac:dyDescent="0.3">
      <c r="A17" s="176"/>
      <c r="B17" s="176"/>
      <c r="C17" s="176"/>
      <c r="D17" s="179" t="s">
        <v>159</v>
      </c>
      <c r="E17" s="176"/>
      <c r="F17" s="176"/>
      <c r="G17" s="176"/>
      <c r="H17" s="176"/>
      <c r="I17" s="176"/>
      <c r="J17" s="176"/>
      <c r="K17" s="176"/>
    </row>
    <row r="18" spans="1:11" ht="14.45" x14ac:dyDescent="0.3">
      <c r="A18" s="176"/>
      <c r="B18" s="176"/>
      <c r="C18" s="176"/>
      <c r="D18" s="176"/>
      <c r="E18" s="176"/>
      <c r="F18" s="176"/>
      <c r="G18" s="176"/>
      <c r="H18" s="176"/>
      <c r="I18" s="176"/>
      <c r="J18" s="176"/>
      <c r="K18" s="176"/>
    </row>
    <row r="19" spans="1:11" ht="14.45" x14ac:dyDescent="0.3">
      <c r="A19" s="176"/>
      <c r="B19" s="176"/>
      <c r="C19" s="176"/>
      <c r="D19" s="176"/>
      <c r="E19" s="176"/>
      <c r="F19" s="176"/>
      <c r="G19" s="176"/>
      <c r="H19" s="176"/>
      <c r="I19" s="176"/>
      <c r="J19" s="176"/>
      <c r="K19" s="176"/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rgb="FF92D050"/>
  </sheetPr>
  <dimension ref="A1:L24"/>
  <sheetViews>
    <sheetView topLeftCell="A4" workbookViewId="0">
      <selection activeCell="E11" sqref="E11"/>
    </sheetView>
  </sheetViews>
  <sheetFormatPr baseColWidth="10" defaultRowHeight="15" x14ac:dyDescent="0.25"/>
  <cols>
    <col min="2" max="2" width="36.28515625" bestFit="1" customWidth="1"/>
  </cols>
  <sheetData>
    <row r="1" spans="1:12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2" ht="16.5" thickBot="1" x14ac:dyDescent="0.3">
      <c r="B2" s="8" t="s">
        <v>28</v>
      </c>
      <c r="C2" s="304" t="s">
        <v>6</v>
      </c>
      <c r="D2" s="304"/>
      <c r="E2" s="304"/>
      <c r="F2" s="304"/>
      <c r="G2" s="305"/>
      <c r="H2" s="7"/>
    </row>
    <row r="3" spans="1:12" ht="15.75" thickBot="1" x14ac:dyDescent="0.3">
      <c r="B3" s="8" t="s">
        <v>112</v>
      </c>
      <c r="C3" s="9" t="s">
        <v>14</v>
      </c>
      <c r="D3" s="3"/>
      <c r="E3" s="306" t="s">
        <v>30</v>
      </c>
      <c r="F3" s="307"/>
      <c r="G3" s="76" t="s">
        <v>4</v>
      </c>
      <c r="H3" s="7"/>
    </row>
    <row r="4" spans="1:12" thickBot="1" x14ac:dyDescent="0.35">
      <c r="B4" s="8"/>
      <c r="C4" s="9"/>
      <c r="D4" s="3"/>
      <c r="E4" s="306"/>
      <c r="F4" s="307"/>
      <c r="G4" s="76"/>
      <c r="H4" s="11"/>
    </row>
    <row r="5" spans="1:12" thickBot="1" x14ac:dyDescent="0.35">
      <c r="B5" s="12"/>
      <c r="C5" s="12"/>
      <c r="D5" s="12"/>
      <c r="E5" s="12"/>
      <c r="F5" s="12"/>
      <c r="G5" s="13"/>
      <c r="H5" s="7"/>
      <c r="K5" t="s">
        <v>156</v>
      </c>
    </row>
    <row r="6" spans="1:12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  <c r="K6">
        <v>1400</v>
      </c>
      <c r="L6" t="s">
        <v>155</v>
      </c>
    </row>
    <row r="7" spans="1:12" ht="15.75" thickBot="1" x14ac:dyDescent="0.3">
      <c r="A7" s="138" t="str">
        <f>"015"</f>
        <v>015</v>
      </c>
      <c r="B7" s="163" t="str">
        <f>VLOOKUP(A7,MAT!A:H,2,0)</f>
        <v>Suelo seleccionado (para terraplén)</v>
      </c>
      <c r="C7" s="161" t="str">
        <f>VLOOKUP(A7,MAT!A:H,3,0)</f>
        <v>m3</v>
      </c>
      <c r="D7" s="158">
        <v>1</v>
      </c>
      <c r="E7" s="159">
        <f>VLOOKUP(A7,MAT!A:H,8,0)</f>
        <v>722.63940000000002</v>
      </c>
      <c r="F7" s="160">
        <f>+D7*E7</f>
        <v>722.63940000000002</v>
      </c>
      <c r="G7" s="7"/>
      <c r="H7" s="7"/>
      <c r="K7">
        <v>1.4</v>
      </c>
      <c r="L7" t="s">
        <v>71</v>
      </c>
    </row>
    <row r="8" spans="1:12" thickBot="1" x14ac:dyDescent="0.35">
      <c r="B8" s="17"/>
      <c r="C8" s="17"/>
      <c r="D8" s="18"/>
      <c r="E8" s="298" t="s">
        <v>36</v>
      </c>
      <c r="F8" s="299"/>
      <c r="G8" s="19">
        <f>+SUM(F7:F7)</f>
        <v>722.63940000000002</v>
      </c>
      <c r="H8" s="11" t="s">
        <v>72</v>
      </c>
    </row>
    <row r="9" spans="1:12" thickBot="1" x14ac:dyDescent="0.35">
      <c r="B9" s="12"/>
      <c r="C9" s="12"/>
      <c r="D9" s="12"/>
      <c r="E9" s="20"/>
      <c r="F9" s="20"/>
      <c r="G9" s="17"/>
      <c r="H9" s="7"/>
    </row>
    <row r="10" spans="1:12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12" ht="15.75" thickBot="1" x14ac:dyDescent="0.3">
      <c r="A11" s="138" t="str">
        <f>A7</f>
        <v>015</v>
      </c>
      <c r="B11" s="156" t="str">
        <f>VLOOKUP(A11,TRANS!A:H,2,0)</f>
        <v>Suelo seleccionado (para terraplén)</v>
      </c>
      <c r="C11" s="157" t="str">
        <f>VLOOKUP(A11,TRANS!A:J,3,0)</f>
        <v>m3</v>
      </c>
      <c r="D11" s="158">
        <f>D7</f>
        <v>1</v>
      </c>
      <c r="E11" s="141">
        <f>VLOOKUP(A11,TRANS!A:J,5,0)</f>
        <v>20</v>
      </c>
      <c r="F11" s="160">
        <f>E11*D11</f>
        <v>20</v>
      </c>
      <c r="G11" s="7"/>
      <c r="H11" s="7"/>
    </row>
    <row r="12" spans="1:12" thickBot="1" x14ac:dyDescent="0.35">
      <c r="B12" s="17"/>
      <c r="C12" s="17"/>
      <c r="D12" s="24"/>
      <c r="E12" s="298" t="s">
        <v>64</v>
      </c>
      <c r="F12" s="308"/>
      <c r="G12" s="19">
        <f>+SUM(F11:F11)</f>
        <v>20</v>
      </c>
      <c r="H12" s="11" t="s">
        <v>72</v>
      </c>
    </row>
    <row r="13" spans="1:12" thickBot="1" x14ac:dyDescent="0.35">
      <c r="B13" s="13"/>
      <c r="C13" s="13"/>
      <c r="D13" s="13"/>
      <c r="E13" s="17"/>
      <c r="F13" s="17"/>
      <c r="G13" s="17"/>
      <c r="H13" s="7"/>
    </row>
    <row r="14" spans="1:12" ht="29.45" thickBot="1" x14ac:dyDescent="0.35">
      <c r="A14" s="74" t="s">
        <v>63</v>
      </c>
      <c r="B14" s="30" t="s">
        <v>39</v>
      </c>
      <c r="C14" s="31"/>
      <c r="D14" s="31"/>
      <c r="E14" s="31"/>
      <c r="F14" s="16" t="s">
        <v>35</v>
      </c>
      <c r="G14" s="7"/>
      <c r="H14" s="7"/>
    </row>
    <row r="15" spans="1:12" thickBot="1" x14ac:dyDescent="0.35">
      <c r="A15" s="138"/>
      <c r="B15" s="154" t="s">
        <v>113</v>
      </c>
      <c r="C15" s="140"/>
      <c r="D15" s="140"/>
      <c r="E15" s="146"/>
      <c r="F15" s="147">
        <v>1879.94</v>
      </c>
      <c r="G15" s="7"/>
      <c r="H15" s="7"/>
    </row>
    <row r="16" spans="1:12" thickBot="1" x14ac:dyDescent="0.35">
      <c r="C16" s="17"/>
      <c r="D16" s="18"/>
      <c r="E16" s="298" t="s">
        <v>65</v>
      </c>
      <c r="F16" s="299"/>
      <c r="G16" s="19">
        <f>+SUM(F15:F15)</f>
        <v>1879.94</v>
      </c>
      <c r="H16" s="11" t="s">
        <v>72</v>
      </c>
    </row>
    <row r="17" spans="1:8" thickBot="1" x14ac:dyDescent="0.35">
      <c r="C17" s="27"/>
      <c r="D17" s="27"/>
      <c r="E17" s="84"/>
      <c r="F17" s="84"/>
      <c r="G17" s="85"/>
      <c r="H17" s="11"/>
    </row>
    <row r="18" spans="1:8" ht="29.45" thickBot="1" x14ac:dyDescent="0.35">
      <c r="A18" s="74" t="s">
        <v>63</v>
      </c>
      <c r="B18" s="30" t="s">
        <v>40</v>
      </c>
      <c r="C18" s="31"/>
      <c r="D18" s="31"/>
      <c r="E18" s="31"/>
      <c r="F18" s="16" t="s">
        <v>35</v>
      </c>
      <c r="G18" s="7"/>
      <c r="H18" s="7"/>
    </row>
    <row r="19" spans="1:8" thickBot="1" x14ac:dyDescent="0.35">
      <c r="A19" s="138"/>
      <c r="B19" s="154" t="s">
        <v>113</v>
      </c>
      <c r="C19" s="140"/>
      <c r="D19" s="140"/>
      <c r="E19" s="146"/>
      <c r="F19" s="147">
        <v>314.45</v>
      </c>
      <c r="G19" s="7"/>
      <c r="H19" s="7"/>
    </row>
    <row r="20" spans="1:8" thickBot="1" x14ac:dyDescent="0.35">
      <c r="C20" s="17"/>
      <c r="D20" s="18"/>
      <c r="E20" s="298" t="s">
        <v>192</v>
      </c>
      <c r="F20" s="299"/>
      <c r="G20" s="19">
        <f>+SUM(F19:F19)</f>
        <v>314.45</v>
      </c>
      <c r="H20" s="11" t="s">
        <v>72</v>
      </c>
    </row>
    <row r="21" spans="1:8" thickBot="1" x14ac:dyDescent="0.35"/>
    <row r="22" spans="1:8" thickBot="1" x14ac:dyDescent="0.35">
      <c r="E22" s="300" t="s">
        <v>81</v>
      </c>
      <c r="F22" s="301"/>
      <c r="G22" s="78">
        <f>+G16+G12+G8+G20</f>
        <v>2937.0293999999999</v>
      </c>
      <c r="H22" s="11" t="s">
        <v>72</v>
      </c>
    </row>
    <row r="24" spans="1:8" x14ac:dyDescent="0.25">
      <c r="C24" t="s">
        <v>163</v>
      </c>
    </row>
  </sheetData>
  <mergeCells count="9">
    <mergeCell ref="E16:F16"/>
    <mergeCell ref="E22:F22"/>
    <mergeCell ref="B1:C1"/>
    <mergeCell ref="C2:G2"/>
    <mergeCell ref="E3:F3"/>
    <mergeCell ref="E4:F4"/>
    <mergeCell ref="E8:F8"/>
    <mergeCell ref="E12:F12"/>
    <mergeCell ref="E20:F20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rgb="FF92D050"/>
  </sheetPr>
  <dimension ref="A1:N21"/>
  <sheetViews>
    <sheetView workbookViewId="0">
      <selection activeCell="E14" sqref="E14:F14"/>
    </sheetView>
  </sheetViews>
  <sheetFormatPr baseColWidth="10" defaultRowHeight="15" x14ac:dyDescent="0.25"/>
  <cols>
    <col min="2" max="2" width="36.28515625" bestFit="1" customWidth="1"/>
    <col min="7" max="7" width="14.140625" customWidth="1"/>
  </cols>
  <sheetData>
    <row r="1" spans="1:14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14" ht="16.5" thickBot="1" x14ac:dyDescent="0.3">
      <c r="B2" s="8" t="s">
        <v>28</v>
      </c>
      <c r="C2" s="304" t="s">
        <v>169</v>
      </c>
      <c r="D2" s="304"/>
      <c r="E2" s="304"/>
      <c r="F2" s="304"/>
      <c r="G2" s="305"/>
      <c r="H2" s="7"/>
    </row>
    <row r="3" spans="1:14" ht="15.75" thickBot="1" x14ac:dyDescent="0.3">
      <c r="B3" s="8" t="s">
        <v>112</v>
      </c>
      <c r="C3" s="9" t="s">
        <v>16</v>
      </c>
      <c r="D3" s="3"/>
      <c r="E3" s="306" t="s">
        <v>30</v>
      </c>
      <c r="F3" s="307"/>
      <c r="G3" s="82" t="s">
        <v>7</v>
      </c>
      <c r="H3" s="7"/>
    </row>
    <row r="4" spans="1:14" thickBot="1" x14ac:dyDescent="0.35">
      <c r="B4" s="8" t="s">
        <v>138</v>
      </c>
      <c r="C4" s="9">
        <v>0.15</v>
      </c>
      <c r="D4" s="3" t="s">
        <v>43</v>
      </c>
      <c r="E4" s="306"/>
      <c r="F4" s="307"/>
      <c r="G4" s="76"/>
      <c r="H4" s="11"/>
    </row>
    <row r="5" spans="1:14" thickBot="1" x14ac:dyDescent="0.35">
      <c r="B5" s="12"/>
      <c r="C5" s="12"/>
      <c r="D5" s="12"/>
      <c r="E5" s="12"/>
      <c r="F5" s="12"/>
      <c r="G5" s="13"/>
      <c r="H5" s="7"/>
    </row>
    <row r="6" spans="1:14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14" ht="14.45" x14ac:dyDescent="0.3">
      <c r="A7" s="111" t="str">
        <f>"012"</f>
        <v>012</v>
      </c>
      <c r="B7" s="130" t="str">
        <f>VLOOKUP(A7,MAT!A:H,2,0)</f>
        <v>Cal hidraulica hidratada, 65% CUV</v>
      </c>
      <c r="C7" s="131" t="str">
        <f>VLOOKUP(A7,MAT!A:H,3,0)</f>
        <v>tn</v>
      </c>
      <c r="D7" s="148">
        <v>6.1200000000000004E-3</v>
      </c>
      <c r="E7" s="115">
        <f>VLOOKUP(A7,MAT!A:H,8,0)</f>
        <v>37128</v>
      </c>
      <c r="F7" s="116">
        <f>+D7*E7</f>
        <v>227.22336000000001</v>
      </c>
      <c r="G7" s="7"/>
      <c r="H7" s="7"/>
    </row>
    <row r="8" spans="1:14" ht="15.75" thickBot="1" x14ac:dyDescent="0.3">
      <c r="A8" s="119" t="str">
        <f>"015"</f>
        <v>015</v>
      </c>
      <c r="B8" s="135" t="str">
        <f>VLOOKUP(A8,MAT!A:H,2,0)</f>
        <v>Suelo seleccionado (para terraplén)</v>
      </c>
      <c r="C8" s="136" t="str">
        <f>VLOOKUP(A8,MAT!A:H,3,0)</f>
        <v>m3</v>
      </c>
      <c r="D8" s="149">
        <f>1.3*0.15</f>
        <v>0.19500000000000001</v>
      </c>
      <c r="E8" s="123">
        <f>VLOOKUP(A8,MAT!A:H,8,0)</f>
        <v>722.63940000000002</v>
      </c>
      <c r="F8" s="124">
        <f>+D8*E8</f>
        <v>140.914683</v>
      </c>
      <c r="G8" s="7"/>
      <c r="H8" s="7"/>
    </row>
    <row r="9" spans="1:14" thickBot="1" x14ac:dyDescent="0.35">
      <c r="B9" s="17"/>
      <c r="C9" s="17"/>
      <c r="D9" s="18"/>
      <c r="E9" s="298" t="s">
        <v>36</v>
      </c>
      <c r="F9" s="299"/>
      <c r="G9" s="19">
        <f>+SUM(F7:F8)</f>
        <v>368.13804300000004</v>
      </c>
      <c r="H9" s="11" t="s">
        <v>37</v>
      </c>
    </row>
    <row r="10" spans="1:14" thickBot="1" x14ac:dyDescent="0.35">
      <c r="B10" s="12"/>
      <c r="C10" s="12"/>
      <c r="D10" s="12"/>
      <c r="E10" s="20"/>
      <c r="F10" s="20"/>
      <c r="G10" s="17"/>
      <c r="H10" s="7"/>
    </row>
    <row r="11" spans="1:14" ht="29.45" thickBot="1" x14ac:dyDescent="0.35">
      <c r="A11" s="74" t="s">
        <v>63</v>
      </c>
      <c r="B11" s="30" t="s">
        <v>38</v>
      </c>
      <c r="C11" s="31" t="str">
        <f>+C6</f>
        <v>UNIDAD</v>
      </c>
      <c r="D11" s="31" t="str">
        <f>+D6</f>
        <v>CUANTIA</v>
      </c>
      <c r="E11" s="31" t="str">
        <f>+E6</f>
        <v>PRECIO</v>
      </c>
      <c r="F11" s="125" t="str">
        <f>+F6</f>
        <v>COSTO TOTAL</v>
      </c>
      <c r="G11" s="7"/>
      <c r="H11" s="7"/>
    </row>
    <row r="12" spans="1:14" thickBot="1" x14ac:dyDescent="0.35">
      <c r="A12" s="111" t="str">
        <f>A7</f>
        <v>012</v>
      </c>
      <c r="B12" s="112" t="str">
        <f>VLOOKUP(A12,TRANS!A:H,2,0)</f>
        <v>Cal hidraulica hidratada, 65% CUV</v>
      </c>
      <c r="C12" s="113" t="str">
        <f>VLOOKUP(A12,TRANS!A:J,3,0)</f>
        <v>tn</v>
      </c>
      <c r="D12" s="148">
        <f>D7</f>
        <v>6.1200000000000004E-3</v>
      </c>
      <c r="E12" s="132">
        <f>VLOOKUP(A12,TRANS!A:J,5,0)</f>
        <v>350</v>
      </c>
      <c r="F12" s="116">
        <f>E12*D12</f>
        <v>2.1420000000000003</v>
      </c>
      <c r="G12" s="7"/>
      <c r="H12" s="7"/>
    </row>
    <row r="13" spans="1:14" ht="15.75" thickBot="1" x14ac:dyDescent="0.3">
      <c r="A13" s="119" t="str">
        <f>A8</f>
        <v>015</v>
      </c>
      <c r="B13" s="120" t="str">
        <f>VLOOKUP(A13,TRANS!A:H,2,0)</f>
        <v>Suelo seleccionado (para terraplén)</v>
      </c>
      <c r="C13" s="121" t="str">
        <f>VLOOKUP(A13,TRANS!A:J,3,0)</f>
        <v>m3</v>
      </c>
      <c r="D13" s="137">
        <f>D8</f>
        <v>0.19500000000000001</v>
      </c>
      <c r="E13" s="132">
        <f>VLOOKUP(A13,TRANS!A:J,5,0)</f>
        <v>20</v>
      </c>
      <c r="F13" s="124">
        <f>E13*D13</f>
        <v>3.9000000000000004</v>
      </c>
      <c r="G13" s="7"/>
      <c r="H13" s="7"/>
    </row>
    <row r="14" spans="1:14" thickBot="1" x14ac:dyDescent="0.35">
      <c r="B14" s="17"/>
      <c r="C14" s="17"/>
      <c r="D14" s="24"/>
      <c r="E14" s="298" t="s">
        <v>64</v>
      </c>
      <c r="F14" s="308"/>
      <c r="G14" s="19">
        <f>+SUM(F12:F13)</f>
        <v>6.0420000000000007</v>
      </c>
      <c r="H14" s="7" t="s">
        <v>37</v>
      </c>
      <c r="M14">
        <f>1.36*30*0.15</f>
        <v>6.12</v>
      </c>
      <c r="N14" t="s">
        <v>167</v>
      </c>
    </row>
    <row r="15" spans="1:14" thickBot="1" x14ac:dyDescent="0.35">
      <c r="B15" s="13"/>
      <c r="C15" s="13"/>
      <c r="D15" s="13"/>
      <c r="E15" s="17"/>
      <c r="F15" s="17"/>
      <c r="G15" s="17"/>
      <c r="H15" s="7"/>
      <c r="M15">
        <f>M14/1000</f>
        <v>6.1200000000000004E-3</v>
      </c>
      <c r="N15" t="s">
        <v>168</v>
      </c>
    </row>
    <row r="16" spans="1:14" ht="29.45" thickBot="1" x14ac:dyDescent="0.35">
      <c r="A16" s="74" t="s">
        <v>63</v>
      </c>
      <c r="B16" s="30" t="s">
        <v>171</v>
      </c>
      <c r="C16" s="31"/>
      <c r="D16" s="31"/>
      <c r="E16" s="31"/>
      <c r="F16" s="16" t="s">
        <v>35</v>
      </c>
      <c r="G16" s="7"/>
      <c r="H16" s="7"/>
    </row>
    <row r="17" spans="1:8" thickBot="1" x14ac:dyDescent="0.35">
      <c r="A17" s="138"/>
      <c r="B17" s="145" t="s">
        <v>172</v>
      </c>
      <c r="C17" s="140"/>
      <c r="D17" s="140"/>
      <c r="E17" s="146"/>
      <c r="F17" s="147">
        <f>G9*0.4</f>
        <v>147.25521720000003</v>
      </c>
      <c r="G17" s="7"/>
      <c r="H17" s="7"/>
    </row>
    <row r="18" spans="1:8" thickBot="1" x14ac:dyDescent="0.35">
      <c r="B18" s="17"/>
      <c r="C18" s="17"/>
      <c r="D18" s="18"/>
      <c r="E18" s="298" t="s">
        <v>173</v>
      </c>
      <c r="F18" s="299"/>
      <c r="G18" s="19">
        <f>+SUM(F17:F17)</f>
        <v>147.25521720000003</v>
      </c>
      <c r="H18" s="7" t="s">
        <v>37</v>
      </c>
    </row>
    <row r="19" spans="1:8" ht="14.45" x14ac:dyDescent="0.3">
      <c r="B19" s="7"/>
      <c r="C19" s="7"/>
      <c r="D19" s="7"/>
      <c r="E19" s="7"/>
      <c r="F19" s="7"/>
      <c r="G19" s="7"/>
      <c r="H19" s="7"/>
    </row>
    <row r="20" spans="1:8" thickBot="1" x14ac:dyDescent="0.35"/>
    <row r="21" spans="1:8" ht="15.75" thickBot="1" x14ac:dyDescent="0.3">
      <c r="E21" s="309" t="s">
        <v>66</v>
      </c>
      <c r="F21" s="310"/>
      <c r="G21" s="42">
        <f>G9+G18</f>
        <v>515.3932602000001</v>
      </c>
      <c r="H21" s="7" t="s">
        <v>37</v>
      </c>
    </row>
  </sheetData>
  <mergeCells count="8">
    <mergeCell ref="E18:F18"/>
    <mergeCell ref="E21:F21"/>
    <mergeCell ref="B1:C1"/>
    <mergeCell ref="C2:G2"/>
    <mergeCell ref="E3:F3"/>
    <mergeCell ref="E4:F4"/>
    <mergeCell ref="E9:F9"/>
    <mergeCell ref="E14:F14"/>
  </mergeCells>
  <phoneticPr fontId="6" type="noConversion"/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rgb="FF92D050"/>
  </sheetPr>
  <dimension ref="A1:H20"/>
  <sheetViews>
    <sheetView workbookViewId="0">
      <selection activeCell="H12" sqref="H12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29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18</v>
      </c>
      <c r="D3" s="3"/>
      <c r="E3" s="306" t="s">
        <v>30</v>
      </c>
      <c r="F3" s="307"/>
      <c r="G3" s="76" t="s">
        <v>7</v>
      </c>
      <c r="H3" s="7"/>
    </row>
    <row r="4" spans="1:8" thickBot="1" x14ac:dyDescent="0.35">
      <c r="B4" s="8" t="s">
        <v>42</v>
      </c>
      <c r="C4" s="77">
        <v>0.15</v>
      </c>
      <c r="D4" s="3" t="s">
        <v>43</v>
      </c>
      <c r="E4" s="306"/>
      <c r="F4" s="307"/>
      <c r="G4" s="76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x14ac:dyDescent="0.25">
      <c r="A7" s="111" t="str">
        <f>"021"</f>
        <v>021</v>
      </c>
      <c r="B7" s="130" t="str">
        <f>VLOOKUP(A7,MAT!A:H,2,0)</f>
        <v>Hº ELABORADO H-13</v>
      </c>
      <c r="C7" s="131" t="str">
        <f>VLOOKUP(A7,MAT!A:H,3,0)</f>
        <v>m3</v>
      </c>
      <c r="D7" s="148">
        <f>$C$4*1*1</f>
        <v>0.15</v>
      </c>
      <c r="E7" s="115">
        <f>VLOOKUP(A7,MAT!A:H,8,0)</f>
        <v>37820.54176</v>
      </c>
      <c r="F7" s="116">
        <f>+D7*E7</f>
        <v>5673.0812639999995</v>
      </c>
      <c r="G7" s="7"/>
      <c r="H7" s="7"/>
    </row>
    <row r="8" spans="1:8" thickBot="1" x14ac:dyDescent="0.35">
      <c r="A8" s="119" t="str">
        <f>"004"</f>
        <v>004</v>
      </c>
      <c r="B8" s="135" t="str">
        <f>VLOOKUP(A8,MAT!A:H,2,0)</f>
        <v>Film de polietileno 200mic (rollo de 50x2m)</v>
      </c>
      <c r="C8" s="136" t="str">
        <f>VLOOKUP(A8,MAT!A:H,3,0)</f>
        <v>Unidad</v>
      </c>
      <c r="D8" s="149">
        <f>1/(50*2)</f>
        <v>0.01</v>
      </c>
      <c r="E8" s="123">
        <f>VLOOKUP(A8,MAT!A:H,8,0)</f>
        <v>14852</v>
      </c>
      <c r="F8" s="124">
        <f>+D8*E8</f>
        <v>148.52000000000001</v>
      </c>
      <c r="G8" s="7"/>
      <c r="H8" s="7"/>
    </row>
    <row r="9" spans="1:8" thickBot="1" x14ac:dyDescent="0.35">
      <c r="B9" s="17"/>
      <c r="C9" s="17"/>
      <c r="D9" s="18"/>
      <c r="E9" s="298" t="s">
        <v>36</v>
      </c>
      <c r="F9" s="299"/>
      <c r="G9" s="19">
        <f>+SUM(F7:F8)</f>
        <v>5821.6012639999999</v>
      </c>
      <c r="H9" s="11" t="s">
        <v>37</v>
      </c>
    </row>
    <row r="10" spans="1:8" thickBot="1" x14ac:dyDescent="0.35">
      <c r="B10" s="12"/>
      <c r="C10" s="12"/>
      <c r="D10" s="12"/>
      <c r="E10" s="20"/>
      <c r="F10" s="20"/>
      <c r="G10" s="17"/>
      <c r="H10" s="7"/>
    </row>
    <row r="11" spans="1:8" ht="29.45" thickBot="1" x14ac:dyDescent="0.35">
      <c r="A11" s="74" t="s">
        <v>63</v>
      </c>
      <c r="B11" s="30" t="s">
        <v>38</v>
      </c>
      <c r="C11" s="31" t="str">
        <f>+C6</f>
        <v>UNIDAD</v>
      </c>
      <c r="D11" s="31" t="str">
        <f>+D6</f>
        <v>CUANTIA</v>
      </c>
      <c r="E11" s="31" t="str">
        <f>+E6</f>
        <v>PRECIO</v>
      </c>
      <c r="F11" s="125" t="str">
        <f>+F6</f>
        <v>COSTO TOTAL</v>
      </c>
      <c r="G11" s="7"/>
      <c r="H11" s="7"/>
    </row>
    <row r="12" spans="1:8" ht="15.75" thickBot="1" x14ac:dyDescent="0.3">
      <c r="A12" s="111" t="str">
        <f>"021"</f>
        <v>021</v>
      </c>
      <c r="B12" s="130" t="str">
        <f>VLOOKUP(A12,TRANS!A:H,2,0)</f>
        <v>Hº ELABORADO H-13</v>
      </c>
      <c r="C12" s="131" t="str">
        <f>VLOOKUP(A12,TRANS!A:J,3,0)</f>
        <v>m3</v>
      </c>
      <c r="D12" s="148">
        <f>D7</f>
        <v>0.15</v>
      </c>
      <c r="E12" s="132">
        <f>VLOOKUP(A12,TRANS!A:J,5,0)</f>
        <v>20</v>
      </c>
      <c r="F12" s="116">
        <f>E12*D12</f>
        <v>3</v>
      </c>
      <c r="G12" s="7"/>
      <c r="H12" s="7"/>
    </row>
    <row r="13" spans="1:8" thickBot="1" x14ac:dyDescent="0.35">
      <c r="A13" s="119" t="str">
        <f>"004"</f>
        <v>004</v>
      </c>
      <c r="B13" s="135" t="str">
        <f>VLOOKUP(A13,TRANS!A:H,2,0)</f>
        <v>Film de polietileno 200mic (rollo de 50x2m)</v>
      </c>
      <c r="C13" s="136" t="str">
        <f>VLOOKUP(A13,TRANS!A:J,3,0)</f>
        <v>Unidad</v>
      </c>
      <c r="D13" s="149">
        <f>D8</f>
        <v>0.01</v>
      </c>
      <c r="E13" s="132">
        <f>VLOOKUP(A13,TRANS!A:J,5,0)</f>
        <v>0</v>
      </c>
      <c r="F13" s="116">
        <f>E13*D13</f>
        <v>0</v>
      </c>
      <c r="G13" s="7"/>
      <c r="H13" s="7"/>
    </row>
    <row r="14" spans="1:8" thickBot="1" x14ac:dyDescent="0.35">
      <c r="B14" s="17"/>
      <c r="C14" s="17"/>
      <c r="D14" s="24"/>
      <c r="E14" s="298" t="s">
        <v>64</v>
      </c>
      <c r="F14" s="308"/>
      <c r="G14" s="19">
        <f>+SUM(F12:F13)</f>
        <v>3</v>
      </c>
      <c r="H14" s="7" t="s">
        <v>37</v>
      </c>
    </row>
    <row r="15" spans="1:8" thickBot="1" x14ac:dyDescent="0.35">
      <c r="B15" s="13"/>
      <c r="C15" s="13"/>
      <c r="D15" s="13"/>
      <c r="E15" s="17"/>
      <c r="F15" s="17"/>
      <c r="G15" s="17"/>
      <c r="H15" s="7"/>
    </row>
    <row r="16" spans="1:8" ht="29.45" thickBot="1" x14ac:dyDescent="0.35">
      <c r="A16" s="74" t="s">
        <v>63</v>
      </c>
      <c r="B16" s="30" t="s">
        <v>177</v>
      </c>
      <c r="C16" s="31"/>
      <c r="D16" s="31"/>
      <c r="E16" s="31"/>
      <c r="F16" s="16" t="s">
        <v>35</v>
      </c>
      <c r="G16" s="7"/>
      <c r="H16" s="7"/>
    </row>
    <row r="17" spans="1:8" thickBot="1" x14ac:dyDescent="0.35">
      <c r="A17" s="138"/>
      <c r="B17" s="145" t="s">
        <v>178</v>
      </c>
      <c r="C17" s="140"/>
      <c r="D17" s="140"/>
      <c r="E17" s="146"/>
      <c r="F17" s="147">
        <f>G9*0.4</f>
        <v>2328.6405055999999</v>
      </c>
      <c r="G17" s="7"/>
      <c r="H17" s="7"/>
    </row>
    <row r="18" spans="1:8" thickBot="1" x14ac:dyDescent="0.35">
      <c r="B18" s="17"/>
      <c r="C18" s="17"/>
      <c r="D18" s="18"/>
      <c r="E18" s="298" t="s">
        <v>173</v>
      </c>
      <c r="F18" s="299"/>
      <c r="G18" s="19">
        <f>+SUM(F17:F17)</f>
        <v>2328.6405055999999</v>
      </c>
      <c r="H18" s="7" t="s">
        <v>37</v>
      </c>
    </row>
    <row r="19" spans="1:8" thickBot="1" x14ac:dyDescent="0.35">
      <c r="B19" s="7"/>
      <c r="C19" s="7"/>
      <c r="D19" s="7"/>
      <c r="E19" s="7"/>
      <c r="F19" s="7"/>
      <c r="G19" s="7"/>
      <c r="H19" s="7"/>
    </row>
    <row r="20" spans="1:8" thickBot="1" x14ac:dyDescent="0.35">
      <c r="E20" s="300" t="s">
        <v>66</v>
      </c>
      <c r="F20" s="301"/>
      <c r="G20" s="78">
        <f>+G18+G14+G9</f>
        <v>8153.2417695999993</v>
      </c>
      <c r="H20" s="7" t="s">
        <v>37</v>
      </c>
    </row>
  </sheetData>
  <mergeCells count="8">
    <mergeCell ref="E18:F18"/>
    <mergeCell ref="E20:F20"/>
    <mergeCell ref="B1:C1"/>
    <mergeCell ref="C2:G2"/>
    <mergeCell ref="E3:F3"/>
    <mergeCell ref="E4:F4"/>
    <mergeCell ref="E9:F9"/>
    <mergeCell ref="E14:F14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rgb="FF92D050"/>
  </sheetPr>
  <dimension ref="A1:H20"/>
  <sheetViews>
    <sheetView workbookViewId="0">
      <selection activeCell="I12" sqref="I12"/>
    </sheetView>
  </sheetViews>
  <sheetFormatPr baseColWidth="10" defaultRowHeight="15" x14ac:dyDescent="0.25"/>
  <cols>
    <col min="2" max="2" width="36.28515625" bestFit="1" customWidth="1"/>
    <col min="7" max="7" width="11.8554687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126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17</v>
      </c>
      <c r="D3" s="3"/>
      <c r="E3" s="306" t="s">
        <v>30</v>
      </c>
      <c r="F3" s="307"/>
      <c r="G3" s="76" t="s">
        <v>7</v>
      </c>
      <c r="H3" s="7"/>
    </row>
    <row r="4" spans="1:8" thickBot="1" x14ac:dyDescent="0.35">
      <c r="B4" s="8" t="s">
        <v>42</v>
      </c>
      <c r="C4" s="77">
        <v>0.18</v>
      </c>
      <c r="D4" s="3" t="s">
        <v>43</v>
      </c>
      <c r="E4" s="306"/>
      <c r="F4" s="307"/>
      <c r="G4" s="79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x14ac:dyDescent="0.25">
      <c r="A7" s="111" t="str">
        <f>"021"</f>
        <v>021</v>
      </c>
      <c r="B7" s="130" t="str">
        <f>VLOOKUP(A7,MAT!A:H,2,0)</f>
        <v>Hº ELABORADO H-13</v>
      </c>
      <c r="C7" s="131" t="str">
        <f>VLOOKUP(A7,MAT!A:H,3,0)</f>
        <v>m3</v>
      </c>
      <c r="D7" s="148">
        <f>$C$4*1*1</f>
        <v>0.18</v>
      </c>
      <c r="E7" s="115">
        <f>VLOOKUP(A7,MAT!A:H,8,0)</f>
        <v>37820.54176</v>
      </c>
      <c r="F7" s="116">
        <f>+D7*E7</f>
        <v>6807.6975167999999</v>
      </c>
      <c r="G7" s="7"/>
      <c r="H7" s="7"/>
    </row>
    <row r="8" spans="1:8" thickBot="1" x14ac:dyDescent="0.35">
      <c r="A8" s="119" t="str">
        <f>"004"</f>
        <v>004</v>
      </c>
      <c r="B8" s="135" t="str">
        <f>VLOOKUP(A8,MAT!A:H,2,0)</f>
        <v>Film de polietileno 200mic (rollo de 50x2m)</v>
      </c>
      <c r="C8" s="136" t="str">
        <f>VLOOKUP(A8,MAT!A:H,3,0)</f>
        <v>Unidad</v>
      </c>
      <c r="D8" s="149">
        <f>1/(50*2)</f>
        <v>0.01</v>
      </c>
      <c r="E8" s="123">
        <f>VLOOKUP(A8,MAT!A:H,8,0)</f>
        <v>14852</v>
      </c>
      <c r="F8" s="124">
        <f>+D8*E8</f>
        <v>148.52000000000001</v>
      </c>
      <c r="G8" s="7"/>
      <c r="H8" s="7"/>
    </row>
    <row r="9" spans="1:8" thickBot="1" x14ac:dyDescent="0.35">
      <c r="B9" s="17"/>
      <c r="C9" s="17"/>
      <c r="D9" s="18"/>
      <c r="E9" s="298" t="s">
        <v>36</v>
      </c>
      <c r="F9" s="299"/>
      <c r="G9" s="19">
        <f>+SUM(F7:F8)</f>
        <v>6956.2175168000003</v>
      </c>
      <c r="H9" s="11" t="s">
        <v>37</v>
      </c>
    </row>
    <row r="10" spans="1:8" thickBot="1" x14ac:dyDescent="0.35">
      <c r="B10" s="12"/>
      <c r="C10" s="12"/>
      <c r="D10" s="12"/>
      <c r="E10" s="20"/>
      <c r="F10" s="20"/>
      <c r="G10" s="17"/>
      <c r="H10" s="7"/>
    </row>
    <row r="11" spans="1:8" ht="29.45" thickBot="1" x14ac:dyDescent="0.35">
      <c r="A11" s="74" t="s">
        <v>63</v>
      </c>
      <c r="B11" s="30" t="s">
        <v>38</v>
      </c>
      <c r="C11" s="31" t="str">
        <f>+C6</f>
        <v>UNIDAD</v>
      </c>
      <c r="D11" s="31" t="str">
        <f>+D6</f>
        <v>CUANTIA</v>
      </c>
      <c r="E11" s="31" t="str">
        <f>+E6</f>
        <v>PRECIO</v>
      </c>
      <c r="F11" s="125" t="str">
        <f>+F6</f>
        <v>COSTO TOTAL</v>
      </c>
      <c r="G11" s="7"/>
      <c r="H11" s="7"/>
    </row>
    <row r="12" spans="1:8" ht="15.75" thickBot="1" x14ac:dyDescent="0.3">
      <c r="A12" s="111" t="str">
        <f>"021"</f>
        <v>021</v>
      </c>
      <c r="B12" s="130" t="str">
        <f>VLOOKUP(A12,TRANS!A:H,2,0)</f>
        <v>Hº ELABORADO H-13</v>
      </c>
      <c r="C12" s="131" t="str">
        <f>VLOOKUP(A12,TRANS!A:J,3,0)</f>
        <v>m3</v>
      </c>
      <c r="D12" s="152">
        <f>D7</f>
        <v>0.18</v>
      </c>
      <c r="E12" s="132">
        <f>VLOOKUP(A12,TRANS!A:J,5,0)</f>
        <v>20</v>
      </c>
      <c r="F12" s="116">
        <f>D12*E12</f>
        <v>3.5999999999999996</v>
      </c>
      <c r="G12" s="7"/>
      <c r="H12" s="7"/>
    </row>
    <row r="13" spans="1:8" thickBot="1" x14ac:dyDescent="0.35">
      <c r="A13" s="119" t="str">
        <f>"004"</f>
        <v>004</v>
      </c>
      <c r="B13" s="135" t="str">
        <f>VLOOKUP(A13,TRANS!A:H,2,0)</f>
        <v>Film de polietileno 200mic (rollo de 50x2m)</v>
      </c>
      <c r="C13" s="136" t="str">
        <f>VLOOKUP(A13,TRANS!A:J,3,0)</f>
        <v>Unidad</v>
      </c>
      <c r="D13" s="149">
        <f>D8</f>
        <v>0.01</v>
      </c>
      <c r="E13" s="137">
        <f>VLOOKUP(A13,TRANS!A:J,5,0)</f>
        <v>0</v>
      </c>
      <c r="F13" s="116">
        <f>D13*E13</f>
        <v>0</v>
      </c>
      <c r="G13" s="7"/>
      <c r="H13" s="7"/>
    </row>
    <row r="14" spans="1:8" thickBot="1" x14ac:dyDescent="0.35">
      <c r="B14" s="17"/>
      <c r="C14" s="17"/>
      <c r="D14" s="24"/>
      <c r="E14" s="298" t="s">
        <v>64</v>
      </c>
      <c r="F14" s="308"/>
      <c r="G14" s="19">
        <f>+SUM(F12:F13)</f>
        <v>3.5999999999999996</v>
      </c>
      <c r="H14" s="7" t="s">
        <v>37</v>
      </c>
    </row>
    <row r="15" spans="1:8" thickBot="1" x14ac:dyDescent="0.35">
      <c r="B15" s="13"/>
      <c r="C15" s="13"/>
      <c r="D15" s="13"/>
      <c r="E15" s="17"/>
      <c r="F15" s="17"/>
      <c r="G15" s="17"/>
      <c r="H15" s="7"/>
    </row>
    <row r="16" spans="1:8" ht="29.45" thickBot="1" x14ac:dyDescent="0.35">
      <c r="A16" s="74" t="s">
        <v>63</v>
      </c>
      <c r="B16" s="30" t="s">
        <v>177</v>
      </c>
      <c r="C16" s="31"/>
      <c r="D16" s="31"/>
      <c r="E16" s="31"/>
      <c r="F16" s="16" t="s">
        <v>35</v>
      </c>
      <c r="G16" s="7"/>
      <c r="H16" s="7"/>
    </row>
    <row r="17" spans="1:8" thickBot="1" x14ac:dyDescent="0.35">
      <c r="A17" s="138"/>
      <c r="B17" s="145" t="s">
        <v>178</v>
      </c>
      <c r="C17" s="140"/>
      <c r="D17" s="140"/>
      <c r="E17" s="146"/>
      <c r="F17" s="147">
        <f>G9*0.4</f>
        <v>2782.4870067200004</v>
      </c>
      <c r="G17" s="7"/>
      <c r="H17" s="7"/>
    </row>
    <row r="18" spans="1:8" thickBot="1" x14ac:dyDescent="0.35">
      <c r="B18" s="17"/>
      <c r="C18" s="17"/>
      <c r="D18" s="18"/>
      <c r="E18" s="298" t="s">
        <v>173</v>
      </c>
      <c r="F18" s="299"/>
      <c r="G18" s="19">
        <f>+SUM(F17:F17)</f>
        <v>2782.4870067200004</v>
      </c>
      <c r="H18" s="7" t="s">
        <v>37</v>
      </c>
    </row>
    <row r="19" spans="1:8" thickBot="1" x14ac:dyDescent="0.35">
      <c r="B19" s="7"/>
      <c r="C19" s="7"/>
      <c r="D19" s="7"/>
      <c r="E19" s="7"/>
      <c r="F19" s="7"/>
      <c r="G19" s="7"/>
      <c r="H19" s="7"/>
    </row>
    <row r="20" spans="1:8" thickBot="1" x14ac:dyDescent="0.35">
      <c r="E20" s="300" t="s">
        <v>66</v>
      </c>
      <c r="F20" s="301"/>
      <c r="G20" s="78">
        <f>+G18+G14+G9</f>
        <v>9742.3045235200007</v>
      </c>
      <c r="H20" s="7" t="s">
        <v>37</v>
      </c>
    </row>
  </sheetData>
  <mergeCells count="8">
    <mergeCell ref="E14:F14"/>
    <mergeCell ref="E18:F18"/>
    <mergeCell ref="E20:F20"/>
    <mergeCell ref="B1:C1"/>
    <mergeCell ref="C2:G2"/>
    <mergeCell ref="E3:F3"/>
    <mergeCell ref="E4:F4"/>
    <mergeCell ref="E9:F9"/>
  </mergeCells>
  <pageMargins left="0.7" right="0.7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rgb="FF92D050"/>
  </sheetPr>
  <dimension ref="A1:H22"/>
  <sheetViews>
    <sheetView workbookViewId="0">
      <selection activeCell="E12" sqref="E12:F12"/>
    </sheetView>
  </sheetViews>
  <sheetFormatPr baseColWidth="10" defaultRowHeight="15" x14ac:dyDescent="0.25"/>
  <cols>
    <col min="2" max="2" width="36.28515625" bestFit="1" customWidth="1"/>
  </cols>
  <sheetData>
    <row r="1" spans="1:8" thickBot="1" x14ac:dyDescent="0.35">
      <c r="B1" s="302" t="s">
        <v>27</v>
      </c>
      <c r="C1" s="303"/>
      <c r="D1" s="3"/>
      <c r="E1" s="4"/>
      <c r="F1" s="5"/>
      <c r="G1" s="6"/>
      <c r="H1" s="7"/>
    </row>
    <row r="2" spans="1:8" ht="16.5" thickBot="1" x14ac:dyDescent="0.3">
      <c r="B2" s="8" t="s">
        <v>28</v>
      </c>
      <c r="C2" s="304" t="s">
        <v>182</v>
      </c>
      <c r="D2" s="304"/>
      <c r="E2" s="304"/>
      <c r="F2" s="304"/>
      <c r="G2" s="305"/>
      <c r="H2" s="7"/>
    </row>
    <row r="3" spans="1:8" ht="15.75" thickBot="1" x14ac:dyDescent="0.3">
      <c r="B3" s="8" t="s">
        <v>112</v>
      </c>
      <c r="C3" s="9" t="s">
        <v>19</v>
      </c>
      <c r="D3" s="3"/>
      <c r="E3" s="306" t="s">
        <v>30</v>
      </c>
      <c r="F3" s="307"/>
      <c r="G3" s="76" t="s">
        <v>7</v>
      </c>
      <c r="H3" s="7"/>
    </row>
    <row r="4" spans="1:8" thickBot="1" x14ac:dyDescent="0.35">
      <c r="B4" s="8" t="s">
        <v>42</v>
      </c>
      <c r="C4" s="77">
        <v>0.13</v>
      </c>
      <c r="D4" s="3" t="s">
        <v>43</v>
      </c>
      <c r="E4" s="306"/>
      <c r="F4" s="307"/>
      <c r="G4" s="79"/>
      <c r="H4" s="11"/>
    </row>
    <row r="5" spans="1:8" thickBot="1" x14ac:dyDescent="0.35">
      <c r="B5" s="12"/>
      <c r="C5" s="12"/>
      <c r="D5" s="12"/>
      <c r="E5" s="12"/>
      <c r="F5" s="12"/>
      <c r="G5" s="13"/>
      <c r="H5" s="7"/>
    </row>
    <row r="6" spans="1:8" ht="29.45" thickBot="1" x14ac:dyDescent="0.35">
      <c r="A6" s="74" t="s">
        <v>63</v>
      </c>
      <c r="B6" s="14" t="s">
        <v>62</v>
      </c>
      <c r="C6" s="15" t="s">
        <v>30</v>
      </c>
      <c r="D6" s="15" t="s">
        <v>33</v>
      </c>
      <c r="E6" s="15" t="s">
        <v>34</v>
      </c>
      <c r="F6" s="16" t="s">
        <v>35</v>
      </c>
      <c r="G6" s="7"/>
      <c r="H6" s="7"/>
    </row>
    <row r="7" spans="1:8" thickBot="1" x14ac:dyDescent="0.35">
      <c r="A7" s="138" t="str">
        <f>"016"</f>
        <v>016</v>
      </c>
      <c r="B7" s="156" t="str">
        <f>VLOOKUP(A7,MAT!A:H,2,0)</f>
        <v>Suelo seleccionado</v>
      </c>
      <c r="C7" s="157" t="str">
        <f>VLOOKUP(A7,MAT!A:H,3,0)</f>
        <v>m3</v>
      </c>
      <c r="D7" s="158">
        <f>C4</f>
        <v>0.13</v>
      </c>
      <c r="E7" s="159">
        <f>VLOOKUP(A7,MAT!A:H,8,0)</f>
        <v>3899.46</v>
      </c>
      <c r="F7" s="160">
        <f>+D7*E7</f>
        <v>506.9298</v>
      </c>
      <c r="G7" s="7"/>
      <c r="H7" s="7"/>
    </row>
    <row r="8" spans="1:8" ht="15" customHeight="1" thickBot="1" x14ac:dyDescent="0.35">
      <c r="B8" s="17"/>
      <c r="C8" s="17"/>
      <c r="D8" s="18"/>
      <c r="E8" s="298" t="s">
        <v>36</v>
      </c>
      <c r="F8" s="299"/>
      <c r="G8" s="19">
        <f>+SUM(F7:F7)</f>
        <v>506.9298</v>
      </c>
      <c r="H8" s="11" t="s">
        <v>37</v>
      </c>
    </row>
    <row r="9" spans="1:8" thickBot="1" x14ac:dyDescent="0.35">
      <c r="B9" s="12"/>
      <c r="C9" s="12"/>
      <c r="D9" s="12"/>
      <c r="E9" s="20"/>
      <c r="F9" s="20"/>
      <c r="G9" s="17"/>
      <c r="H9" s="7"/>
    </row>
    <row r="10" spans="1:8" ht="29.45" thickBot="1" x14ac:dyDescent="0.35">
      <c r="A10" s="74" t="s">
        <v>63</v>
      </c>
      <c r="B10" s="30" t="s">
        <v>38</v>
      </c>
      <c r="C10" s="31" t="str">
        <f>+C6</f>
        <v>UNIDAD</v>
      </c>
      <c r="D10" s="31" t="str">
        <f>+D6</f>
        <v>CUANTIA</v>
      </c>
      <c r="E10" s="31" t="str">
        <f>+E6</f>
        <v>PRECIO</v>
      </c>
      <c r="F10" s="125" t="str">
        <f>+F6</f>
        <v>COSTO TOTAL</v>
      </c>
      <c r="G10" s="7"/>
      <c r="H10" s="7"/>
    </row>
    <row r="11" spans="1:8" thickBot="1" x14ac:dyDescent="0.35">
      <c r="A11" s="138" t="str">
        <f>"016"</f>
        <v>016</v>
      </c>
      <c r="B11" s="156" t="str">
        <f>VLOOKUP(A11,TRANS!A:H,2,0)</f>
        <v>Suelo seleccionado</v>
      </c>
      <c r="C11" s="157" t="str">
        <f>VLOOKUP(A11,TRANS!A:J,3,0)</f>
        <v>m3</v>
      </c>
      <c r="D11" s="158">
        <f>D7</f>
        <v>0.13</v>
      </c>
      <c r="E11" s="141">
        <f>VLOOKUP(A11,TRANS!A:J,5,0)</f>
        <v>20</v>
      </c>
      <c r="F11" s="160">
        <f>E11*D11</f>
        <v>2.6</v>
      </c>
      <c r="G11" s="7"/>
      <c r="H11" s="7"/>
    </row>
    <row r="12" spans="1:8" ht="15" customHeight="1" thickBot="1" x14ac:dyDescent="0.35">
      <c r="B12" s="17"/>
      <c r="C12" s="17"/>
      <c r="D12" s="24"/>
      <c r="E12" s="298" t="s">
        <v>64</v>
      </c>
      <c r="F12" s="308"/>
      <c r="G12" s="19">
        <f>+SUM(F11:F11)</f>
        <v>2.6</v>
      </c>
      <c r="H12" s="7" t="s">
        <v>37</v>
      </c>
    </row>
    <row r="13" spans="1:8" thickBot="1" x14ac:dyDescent="0.35">
      <c r="B13" s="13"/>
      <c r="C13" s="13"/>
      <c r="D13" s="13"/>
      <c r="E13" s="17"/>
      <c r="F13" s="17"/>
      <c r="G13" s="17"/>
      <c r="H13" s="7"/>
    </row>
    <row r="14" spans="1:8" ht="29.45" thickBot="1" x14ac:dyDescent="0.35">
      <c r="A14" s="74" t="s">
        <v>63</v>
      </c>
      <c r="B14" s="30" t="s">
        <v>39</v>
      </c>
      <c r="C14" s="31"/>
      <c r="D14" s="31"/>
      <c r="E14" s="31"/>
      <c r="F14" s="16" t="s">
        <v>35</v>
      </c>
      <c r="G14" s="7"/>
      <c r="H14" s="7"/>
    </row>
    <row r="15" spans="1:8" thickBot="1" x14ac:dyDescent="0.35">
      <c r="A15" s="138"/>
      <c r="B15" s="145" t="s">
        <v>113</v>
      </c>
      <c r="C15" s="140"/>
      <c r="D15" s="140"/>
      <c r="E15" s="146"/>
      <c r="F15" s="147">
        <f>3236.11*C4</f>
        <v>420.69430000000006</v>
      </c>
      <c r="G15" s="7"/>
      <c r="H15" s="7"/>
    </row>
    <row r="16" spans="1:8" ht="15" customHeight="1" thickBot="1" x14ac:dyDescent="0.35">
      <c r="B16" s="17"/>
      <c r="C16" s="17"/>
      <c r="D16" s="18"/>
      <c r="E16" s="298" t="s">
        <v>65</v>
      </c>
      <c r="F16" s="299"/>
      <c r="G16" s="19">
        <f>+SUM(F15:F15)</f>
        <v>420.69430000000006</v>
      </c>
      <c r="H16" s="7" t="s">
        <v>37</v>
      </c>
    </row>
    <row r="17" spans="1:8" thickBot="1" x14ac:dyDescent="0.35">
      <c r="B17" s="7"/>
      <c r="C17" s="7"/>
      <c r="D17" s="7"/>
      <c r="E17" s="7"/>
      <c r="F17" s="7"/>
      <c r="G17" s="7"/>
      <c r="H17" s="7"/>
    </row>
    <row r="18" spans="1:8" ht="29.45" thickBot="1" x14ac:dyDescent="0.35">
      <c r="A18" s="74" t="s">
        <v>63</v>
      </c>
      <c r="B18" s="30" t="s">
        <v>184</v>
      </c>
      <c r="C18" s="31"/>
      <c r="D18" s="31"/>
      <c r="E18" s="31"/>
      <c r="F18" s="16" t="s">
        <v>35</v>
      </c>
      <c r="G18" s="7"/>
      <c r="H18" s="7"/>
    </row>
    <row r="19" spans="1:8" thickBot="1" x14ac:dyDescent="0.35">
      <c r="A19" s="138"/>
      <c r="B19" s="145" t="s">
        <v>113</v>
      </c>
      <c r="C19" s="140"/>
      <c r="D19" s="140"/>
      <c r="E19" s="146"/>
      <c r="F19" s="147">
        <f>700*C4</f>
        <v>91</v>
      </c>
      <c r="G19" s="7"/>
      <c r="H19" s="7"/>
    </row>
    <row r="20" spans="1:8" ht="15" customHeight="1" thickBot="1" x14ac:dyDescent="0.3">
      <c r="B20" s="17"/>
      <c r="C20" s="17"/>
      <c r="D20" s="18"/>
      <c r="E20" s="298" t="s">
        <v>192</v>
      </c>
      <c r="F20" s="299"/>
      <c r="G20" s="19">
        <f>+SUM(F19:F19)</f>
        <v>91</v>
      </c>
      <c r="H20" s="7" t="s">
        <v>37</v>
      </c>
    </row>
    <row r="21" spans="1:8" ht="15.75" thickBot="1" x14ac:dyDescent="0.3">
      <c r="B21" s="26"/>
      <c r="C21" s="26"/>
      <c r="D21" s="26"/>
      <c r="E21" s="83"/>
      <c r="F21" s="84"/>
      <c r="G21" s="19"/>
      <c r="H21" s="7"/>
    </row>
    <row r="22" spans="1:8" ht="15.75" thickBot="1" x14ac:dyDescent="0.3">
      <c r="E22" s="300" t="s">
        <v>66</v>
      </c>
      <c r="F22" s="301"/>
      <c r="G22" s="78">
        <f>+G16+G12+G8+G20</f>
        <v>1021.2241000000001</v>
      </c>
      <c r="H22" s="7" t="s">
        <v>37</v>
      </c>
    </row>
  </sheetData>
  <mergeCells count="9">
    <mergeCell ref="E22:F22"/>
    <mergeCell ref="E20:F20"/>
    <mergeCell ref="B1:C1"/>
    <mergeCell ref="C2:G2"/>
    <mergeCell ref="E3:F3"/>
    <mergeCell ref="E4:F4"/>
    <mergeCell ref="E8:F8"/>
    <mergeCell ref="E12:F12"/>
    <mergeCell ref="E16:F1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2</vt:i4>
      </vt:variant>
    </vt:vector>
  </HeadingPairs>
  <TitlesOfParts>
    <vt:vector size="42" baseType="lpstr">
      <vt:lpstr>TABLA</vt:lpstr>
      <vt:lpstr>Presupuesto</vt:lpstr>
      <vt:lpstr>MAT</vt:lpstr>
      <vt:lpstr>TRANS</vt:lpstr>
      <vt:lpstr>1.5</vt:lpstr>
      <vt:lpstr>1.7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3.1</vt:lpstr>
      <vt:lpstr>3.2</vt:lpstr>
      <vt:lpstr>3.3</vt:lpstr>
      <vt:lpstr>4.1</vt:lpstr>
      <vt:lpstr>4.2</vt:lpstr>
      <vt:lpstr>4.3</vt:lpstr>
      <vt:lpstr>4.4</vt:lpstr>
      <vt:lpstr>4.5</vt:lpstr>
      <vt:lpstr>5.1</vt:lpstr>
      <vt:lpstr>5.2</vt:lpstr>
      <vt:lpstr>5.3</vt:lpstr>
      <vt:lpstr>5.4</vt:lpstr>
      <vt:lpstr>5.5</vt:lpstr>
      <vt:lpstr>5.6</vt:lpstr>
      <vt:lpstr>5.7</vt:lpstr>
      <vt:lpstr>6.1</vt:lpstr>
      <vt:lpstr>CAUX-Hº H13</vt:lpstr>
      <vt:lpstr>CAUX-Hº H17</vt:lpstr>
      <vt:lpstr>CAUX-Hº H30</vt:lpstr>
      <vt:lpstr>LISTA</vt:lpstr>
      <vt:lpstr>'4.1'!Seleccionar_rubro</vt:lpstr>
      <vt:lpstr>Seleccionar_rubro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2023-10-13T14:30:18Z</dcterms:created>
  <dcterms:modified xsi:type="dcterms:W3CDTF">2025-09-29T16:22:12Z</dcterms:modified>
</cp:coreProperties>
</file>